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14.xml" ContentType="application/vnd.openxmlformats-officedocument.spreadsheetml.table+xml"/>
  <Override PartName="/xl/drawings/drawing8.xml" ContentType="application/vnd.openxmlformats-officedocument.drawing+xml"/>
  <Override PartName="/xl/tables/table23.xml" ContentType="application/vnd.openxmlformats-officedocument.spreadsheetml.table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tables/table12.xml" ContentType="application/vnd.openxmlformats-officedocument.spreadsheetml.table+xml"/>
  <Override PartName="/xl/tables/table2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tables/table10.xml" ContentType="application/vnd.openxmlformats-officedocument.spreadsheetml.table+xml"/>
  <Override PartName="/xl/drawings/drawing15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19.xml" ContentType="application/vnd.openxmlformats-officedocument.spreadsheetml.table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drawings/drawing9.xml" ContentType="application/vnd.openxmlformats-officedocument.drawing+xml"/>
  <Default Extension="png" ContentType="image/png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drawings/drawing7.xml" ContentType="application/vnd.openxmlformats-officedocument.drawing+xml"/>
  <Override PartName="/xl/tables/table22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5.xml" ContentType="application/vnd.openxmlformats-officedocument.drawing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929"/>
  </bookViews>
  <sheets>
    <sheet name="Контакты" sheetId="1" r:id="rId1"/>
    <sheet name="ИТОГО" sheetId="2" r:id="rId2"/>
    <sheet name="Кипятильники" sheetId="3" r:id="rId3"/>
    <sheet name="Термосы эмалированные" sheetId="4" r:id="rId4"/>
    <sheet name="Термосы нержавеющие" sheetId="5" r:id="rId5"/>
    <sheet name="Термосы с краном" sheetId="6" r:id="rId6"/>
    <sheet name="Термосы на колесах" sheetId="7" r:id="rId7"/>
    <sheet name="Бидоны" sheetId="8" r:id="rId8"/>
    <sheet name="Баки" sheetId="9" r:id="rId9"/>
    <sheet name="Подносы" sheetId="10" r:id="rId10"/>
    <sheet name="Мармиты" sheetId="11" r:id="rId11"/>
    <sheet name="Сыроварни" sheetId="12" r:id="rId12"/>
    <sheet name="Дистилляторы" sheetId="13" r:id="rId13"/>
    <sheet name="ЦКТ" sheetId="14" r:id="rId14"/>
    <sheet name="Комплектующие" sheetId="15" r:id="rId15"/>
    <sheet name="Канистры" sheetId="16" r:id="rId16"/>
    <sheet name="Контейнер для ТКО и ТБО" sheetId="17" r:id="rId17"/>
    <sheet name="Ремонт кипятильников" sheetId="18" r:id="rId18"/>
  </sheets>
  <definedNames>
    <definedName name="cur_label">ИТОГО!$B$8</definedName>
    <definedName name="cur_rate">ИТОГО!$B$9</definedName>
    <definedName name="cur_tier">ИТОГО!$B$16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" i="17"/>
  <c r="I8"/>
  <c r="E8"/>
  <c r="I7"/>
  <c r="E7"/>
  <c r="I6"/>
  <c r="E6"/>
  <c r="I5"/>
  <c r="E5"/>
  <c r="I4"/>
  <c r="E4"/>
  <c r="J3"/>
  <c r="I3"/>
  <c r="G3"/>
  <c r="K3" s="1"/>
  <c r="I11" i="16"/>
  <c r="I10"/>
  <c r="I9"/>
  <c r="I8"/>
  <c r="I7"/>
  <c r="I6"/>
  <c r="I5"/>
  <c r="I4"/>
  <c r="I3"/>
  <c r="K2"/>
  <c r="I2"/>
  <c r="L2" s="1"/>
  <c r="D34" i="2" s="1"/>
  <c r="H32" i="15"/>
  <c r="H31"/>
  <c r="H30"/>
  <c r="H25"/>
  <c r="H24"/>
  <c r="H23"/>
  <c r="H22"/>
  <c r="H21"/>
  <c r="H20"/>
  <c r="H19"/>
  <c r="H17"/>
  <c r="H16"/>
  <c r="H15"/>
  <c r="H13"/>
  <c r="H12"/>
  <c r="H11"/>
  <c r="H10"/>
  <c r="H9"/>
  <c r="H8"/>
  <c r="H7"/>
  <c r="H6"/>
  <c r="H5"/>
  <c r="H4"/>
  <c r="T3"/>
  <c r="S3"/>
  <c r="R3"/>
  <c r="Q3"/>
  <c r="P3"/>
  <c r="O3"/>
  <c r="J3"/>
  <c r="H3"/>
  <c r="K3" s="1"/>
  <c r="D33" i="2" s="1"/>
  <c r="E23" i="14"/>
  <c r="E22"/>
  <c r="E21"/>
  <c r="E20"/>
  <c r="E19"/>
  <c r="E18"/>
  <c r="G17"/>
  <c r="E16"/>
  <c r="E15"/>
  <c r="E14"/>
  <c r="P13"/>
  <c r="O13"/>
  <c r="M13"/>
  <c r="E13"/>
  <c r="O12"/>
  <c r="M12"/>
  <c r="P12" s="1"/>
  <c r="E12"/>
  <c r="O11"/>
  <c r="O14" s="1"/>
  <c r="F32" i="2" s="1"/>
  <c r="M11" i="14"/>
  <c r="P11" s="1"/>
  <c r="P14" s="1"/>
  <c r="G32" i="2" s="1"/>
  <c r="E11" i="14"/>
  <c r="G10"/>
  <c r="E9"/>
  <c r="I8"/>
  <c r="E8"/>
  <c r="I7"/>
  <c r="E7"/>
  <c r="I6"/>
  <c r="E6"/>
  <c r="I5"/>
  <c r="E5"/>
  <c r="I4"/>
  <c r="E4"/>
  <c r="J3"/>
  <c r="I3"/>
  <c r="G3"/>
  <c r="K3" s="1"/>
  <c r="E37" i="13"/>
  <c r="E36"/>
  <c r="E35"/>
  <c r="E34"/>
  <c r="E33"/>
  <c r="E32"/>
  <c r="G31"/>
  <c r="E30"/>
  <c r="E29"/>
  <c r="E28"/>
  <c r="E27"/>
  <c r="E26"/>
  <c r="E25"/>
  <c r="G24"/>
  <c r="E23"/>
  <c r="E22"/>
  <c r="E21"/>
  <c r="E20"/>
  <c r="E19"/>
  <c r="E18"/>
  <c r="G17"/>
  <c r="E16"/>
  <c r="E15"/>
  <c r="E14"/>
  <c r="E13"/>
  <c r="E12"/>
  <c r="E11"/>
  <c r="G10"/>
  <c r="E9"/>
  <c r="I8"/>
  <c r="E8"/>
  <c r="I7"/>
  <c r="E7"/>
  <c r="I6"/>
  <c r="E6"/>
  <c r="I5"/>
  <c r="E5"/>
  <c r="I4"/>
  <c r="E4"/>
  <c r="J3"/>
  <c r="I3"/>
  <c r="G3"/>
  <c r="K3" s="1"/>
  <c r="E23" i="12"/>
  <c r="E22"/>
  <c r="E21"/>
  <c r="E20"/>
  <c r="E19"/>
  <c r="E18"/>
  <c r="G17"/>
  <c r="E16"/>
  <c r="E15"/>
  <c r="E14"/>
  <c r="E13"/>
  <c r="E12"/>
  <c r="E11"/>
  <c r="G10"/>
  <c r="E9"/>
  <c r="I8"/>
  <c r="E8"/>
  <c r="I7"/>
  <c r="E7"/>
  <c r="I6"/>
  <c r="E6"/>
  <c r="I5"/>
  <c r="E5"/>
  <c r="I4"/>
  <c r="E4"/>
  <c r="J3"/>
  <c r="I3"/>
  <c r="G3"/>
  <c r="K3" s="1"/>
  <c r="E23" i="11"/>
  <c r="E22"/>
  <c r="E21"/>
  <c r="E20"/>
  <c r="E19"/>
  <c r="E18"/>
  <c r="G17"/>
  <c r="E16"/>
  <c r="E15"/>
  <c r="E14"/>
  <c r="E13"/>
  <c r="E12"/>
  <c r="E11"/>
  <c r="G10"/>
  <c r="E9"/>
  <c r="I8"/>
  <c r="E8"/>
  <c r="I7"/>
  <c r="E7"/>
  <c r="I6"/>
  <c r="E6"/>
  <c r="I5"/>
  <c r="E5"/>
  <c r="I4"/>
  <c r="E4"/>
  <c r="J3"/>
  <c r="I3"/>
  <c r="G3"/>
  <c r="K3" s="1"/>
  <c r="H9" i="10"/>
  <c r="H8"/>
  <c r="H7"/>
  <c r="H6"/>
  <c r="H5"/>
  <c r="H4"/>
  <c r="H3"/>
  <c r="T2"/>
  <c r="S2"/>
  <c r="R2"/>
  <c r="Q2"/>
  <c r="P2"/>
  <c r="O2"/>
  <c r="J2"/>
  <c r="H2"/>
  <c r="K2" s="1"/>
  <c r="E110" i="9"/>
  <c r="E109"/>
  <c r="E108"/>
  <c r="E107"/>
  <c r="E106"/>
  <c r="E105"/>
  <c r="G104"/>
  <c r="E103"/>
  <c r="E102"/>
  <c r="E101"/>
  <c r="E100"/>
  <c r="E99"/>
  <c r="E98"/>
  <c r="G97"/>
  <c r="E96"/>
  <c r="E95"/>
  <c r="E94"/>
  <c r="E93"/>
  <c r="E92"/>
  <c r="E91"/>
  <c r="G90"/>
  <c r="E89"/>
  <c r="E88"/>
  <c r="E87"/>
  <c r="E86"/>
  <c r="E85"/>
  <c r="E84"/>
  <c r="G83"/>
  <c r="E82"/>
  <c r="E81"/>
  <c r="E80"/>
  <c r="E79"/>
  <c r="E78"/>
  <c r="E77"/>
  <c r="G76"/>
  <c r="E72"/>
  <c r="E71"/>
  <c r="E70"/>
  <c r="E69"/>
  <c r="E68"/>
  <c r="E67"/>
  <c r="G66"/>
  <c r="E65"/>
  <c r="E64"/>
  <c r="E63"/>
  <c r="E62"/>
  <c r="E61"/>
  <c r="E60"/>
  <c r="G59"/>
  <c r="E58"/>
  <c r="E57"/>
  <c r="E56"/>
  <c r="E55"/>
  <c r="E54"/>
  <c r="E53"/>
  <c r="G52"/>
  <c r="E51"/>
  <c r="E50"/>
  <c r="E49"/>
  <c r="E48"/>
  <c r="E47"/>
  <c r="E46"/>
  <c r="G45"/>
  <c r="E44"/>
  <c r="E43"/>
  <c r="E42"/>
  <c r="E41"/>
  <c r="E40"/>
  <c r="E39"/>
  <c r="G38"/>
  <c r="E37"/>
  <c r="E36"/>
  <c r="E35"/>
  <c r="E34"/>
  <c r="E33"/>
  <c r="E32"/>
  <c r="G31"/>
  <c r="E30"/>
  <c r="E29"/>
  <c r="E28"/>
  <c r="E27"/>
  <c r="E26"/>
  <c r="E25"/>
  <c r="G24"/>
  <c r="E23"/>
  <c r="P22"/>
  <c r="O22"/>
  <c r="M22"/>
  <c r="E22"/>
  <c r="P21"/>
  <c r="O21"/>
  <c r="M21"/>
  <c r="E21"/>
  <c r="O20"/>
  <c r="M20"/>
  <c r="P20" s="1"/>
  <c r="E20"/>
  <c r="O19"/>
  <c r="M19"/>
  <c r="P19" s="1"/>
  <c r="E19"/>
  <c r="P18"/>
  <c r="O18"/>
  <c r="M18"/>
  <c r="E18"/>
  <c r="P17"/>
  <c r="O17"/>
  <c r="M17"/>
  <c r="G17"/>
  <c r="P16"/>
  <c r="O16"/>
  <c r="M16"/>
  <c r="E16"/>
  <c r="O15"/>
  <c r="M15"/>
  <c r="P15" s="1"/>
  <c r="E15"/>
  <c r="O14"/>
  <c r="M14"/>
  <c r="P14" s="1"/>
  <c r="E14"/>
  <c r="P13"/>
  <c r="O13"/>
  <c r="M13"/>
  <c r="E13"/>
  <c r="P12"/>
  <c r="O12"/>
  <c r="M12"/>
  <c r="E12"/>
  <c r="O11"/>
  <c r="O23" s="1"/>
  <c r="F27" i="2" s="1"/>
  <c r="M11" i="9"/>
  <c r="P11" s="1"/>
  <c r="P23" s="1"/>
  <c r="G27" i="2" s="1"/>
  <c r="E11" i="9"/>
  <c r="G10"/>
  <c r="E9"/>
  <c r="I8"/>
  <c r="E8"/>
  <c r="I7"/>
  <c r="E7"/>
  <c r="I6"/>
  <c r="E6"/>
  <c r="I5"/>
  <c r="E5"/>
  <c r="I4"/>
  <c r="E4"/>
  <c r="J3"/>
  <c r="I3"/>
  <c r="G3"/>
  <c r="K3" s="1"/>
  <c r="E61" i="8"/>
  <c r="E60"/>
  <c r="E59"/>
  <c r="E58"/>
  <c r="E57"/>
  <c r="E56"/>
  <c r="G55"/>
  <c r="E54"/>
  <c r="E53"/>
  <c r="E52"/>
  <c r="E51"/>
  <c r="E50"/>
  <c r="E49"/>
  <c r="G48"/>
  <c r="E44"/>
  <c r="E43"/>
  <c r="E42"/>
  <c r="E41"/>
  <c r="E40"/>
  <c r="E39"/>
  <c r="G38"/>
  <c r="E37"/>
  <c r="E36"/>
  <c r="E35"/>
  <c r="E34"/>
  <c r="E33"/>
  <c r="E32"/>
  <c r="G31"/>
  <c r="E30"/>
  <c r="E29"/>
  <c r="E28"/>
  <c r="E27"/>
  <c r="E26"/>
  <c r="E25"/>
  <c r="G24"/>
  <c r="E23"/>
  <c r="E22"/>
  <c r="E21"/>
  <c r="E20"/>
  <c r="O19"/>
  <c r="M19"/>
  <c r="P19" s="1"/>
  <c r="E19"/>
  <c r="P18"/>
  <c r="O18"/>
  <c r="M18"/>
  <c r="E18"/>
  <c r="P17"/>
  <c r="O17"/>
  <c r="M17"/>
  <c r="G17"/>
  <c r="O16"/>
  <c r="M16"/>
  <c r="P16" s="1"/>
  <c r="E16"/>
  <c r="O15"/>
  <c r="M15"/>
  <c r="P15" s="1"/>
  <c r="E15"/>
  <c r="O14"/>
  <c r="M14"/>
  <c r="P14" s="1"/>
  <c r="E14"/>
  <c r="O13"/>
  <c r="M13"/>
  <c r="P13" s="1"/>
  <c r="E13"/>
  <c r="O12"/>
  <c r="M12"/>
  <c r="P12" s="1"/>
  <c r="E12"/>
  <c r="O11"/>
  <c r="O20" s="1"/>
  <c r="F26" i="2" s="1"/>
  <c r="M11" i="8"/>
  <c r="P11" s="1"/>
  <c r="E11"/>
  <c r="G10"/>
  <c r="E9"/>
  <c r="I8"/>
  <c r="E8"/>
  <c r="I7"/>
  <c r="E7"/>
  <c r="I6"/>
  <c r="E6"/>
  <c r="I5"/>
  <c r="E5"/>
  <c r="I4"/>
  <c r="E4"/>
  <c r="J3"/>
  <c r="I3"/>
  <c r="G3"/>
  <c r="K3" s="1"/>
  <c r="E19" i="7"/>
  <c r="E18"/>
  <c r="E17"/>
  <c r="E16"/>
  <c r="E15"/>
  <c r="E14"/>
  <c r="O13"/>
  <c r="M13"/>
  <c r="P13" s="1"/>
  <c r="G13"/>
  <c r="O12"/>
  <c r="O14" s="1"/>
  <c r="F25" i="2" s="1"/>
  <c r="M12" i="7"/>
  <c r="P12" s="1"/>
  <c r="E9"/>
  <c r="I8"/>
  <c r="E8"/>
  <c r="I7"/>
  <c r="E7"/>
  <c r="I6"/>
  <c r="E6"/>
  <c r="I5"/>
  <c r="E5"/>
  <c r="I4"/>
  <c r="E4"/>
  <c r="J3"/>
  <c r="I3"/>
  <c r="G3"/>
  <c r="K3" s="1"/>
  <c r="E75" i="6"/>
  <c r="E74"/>
  <c r="E73"/>
  <c r="E72"/>
  <c r="E71"/>
  <c r="E70"/>
  <c r="G69"/>
  <c r="E68"/>
  <c r="E67"/>
  <c r="E66"/>
  <c r="E65"/>
  <c r="E64"/>
  <c r="E63"/>
  <c r="G62"/>
  <c r="E61"/>
  <c r="E60"/>
  <c r="E59"/>
  <c r="E58"/>
  <c r="E57"/>
  <c r="E56"/>
  <c r="G55"/>
  <c r="E54"/>
  <c r="E53"/>
  <c r="E52"/>
  <c r="E51"/>
  <c r="E50"/>
  <c r="E49"/>
  <c r="G48"/>
  <c r="E47"/>
  <c r="P46"/>
  <c r="O46"/>
  <c r="M46"/>
  <c r="E46"/>
  <c r="O45"/>
  <c r="M45"/>
  <c r="P45" s="1"/>
  <c r="E45"/>
  <c r="O44"/>
  <c r="M44"/>
  <c r="P44" s="1"/>
  <c r="E44"/>
  <c r="O43"/>
  <c r="M43"/>
  <c r="P43" s="1"/>
  <c r="E43"/>
  <c r="P42"/>
  <c r="P47" s="1"/>
  <c r="O42"/>
  <c r="O47" s="1"/>
  <c r="M42"/>
  <c r="E42"/>
  <c r="G41"/>
  <c r="E37"/>
  <c r="E36"/>
  <c r="E35"/>
  <c r="E34"/>
  <c r="E33"/>
  <c r="E32"/>
  <c r="G31"/>
  <c r="E30"/>
  <c r="E29"/>
  <c r="E28"/>
  <c r="E27"/>
  <c r="E26"/>
  <c r="E25"/>
  <c r="G24"/>
  <c r="E23"/>
  <c r="E22"/>
  <c r="E21"/>
  <c r="E20"/>
  <c r="E19"/>
  <c r="E18"/>
  <c r="G17"/>
  <c r="O16"/>
  <c r="M16"/>
  <c r="P16" s="1"/>
  <c r="E16"/>
  <c r="O15"/>
  <c r="M15"/>
  <c r="P15" s="1"/>
  <c r="E15"/>
  <c r="O14"/>
  <c r="M14"/>
  <c r="P14" s="1"/>
  <c r="E14"/>
  <c r="O13"/>
  <c r="M13"/>
  <c r="P13" s="1"/>
  <c r="E13"/>
  <c r="O12"/>
  <c r="O17" s="1"/>
  <c r="F24" i="2" s="1"/>
  <c r="M12" i="6"/>
  <c r="P12" s="1"/>
  <c r="E12"/>
  <c r="E11"/>
  <c r="G10"/>
  <c r="E9"/>
  <c r="I8"/>
  <c r="E8"/>
  <c r="I7"/>
  <c r="E7"/>
  <c r="I6"/>
  <c r="E6"/>
  <c r="I5"/>
  <c r="E5"/>
  <c r="I4"/>
  <c r="E4"/>
  <c r="J3"/>
  <c r="I3"/>
  <c r="G3"/>
  <c r="K3" s="1"/>
  <c r="E58" i="5"/>
  <c r="E57"/>
  <c r="E56"/>
  <c r="E55"/>
  <c r="E54"/>
  <c r="E53"/>
  <c r="G52"/>
  <c r="E51"/>
  <c r="E50"/>
  <c r="E49"/>
  <c r="E48"/>
  <c r="E47"/>
  <c r="E46"/>
  <c r="G45"/>
  <c r="E44"/>
  <c r="E43"/>
  <c r="E42"/>
  <c r="E41"/>
  <c r="E40"/>
  <c r="E39"/>
  <c r="G38"/>
  <c r="E37"/>
  <c r="E36"/>
  <c r="E35"/>
  <c r="E34"/>
  <c r="E33"/>
  <c r="E32"/>
  <c r="G31"/>
  <c r="E30"/>
  <c r="E29"/>
  <c r="E28"/>
  <c r="E27"/>
  <c r="E26"/>
  <c r="E25"/>
  <c r="G24"/>
  <c r="E23"/>
  <c r="E22"/>
  <c r="E21"/>
  <c r="E20"/>
  <c r="O19"/>
  <c r="M19"/>
  <c r="P19" s="1"/>
  <c r="E19"/>
  <c r="O18"/>
  <c r="M18"/>
  <c r="P18" s="1"/>
  <c r="E18"/>
  <c r="O17"/>
  <c r="M17"/>
  <c r="P17" s="1"/>
  <c r="G17"/>
  <c r="O16"/>
  <c r="M16"/>
  <c r="P16" s="1"/>
  <c r="E16"/>
  <c r="O15"/>
  <c r="M15"/>
  <c r="P15" s="1"/>
  <c r="E15"/>
  <c r="O14"/>
  <c r="M14"/>
  <c r="P14" s="1"/>
  <c r="E14"/>
  <c r="O13"/>
  <c r="M13"/>
  <c r="P13" s="1"/>
  <c r="E13"/>
  <c r="O12"/>
  <c r="O20" s="1"/>
  <c r="F23" i="2" s="1"/>
  <c r="M12" i="5"/>
  <c r="P12" s="1"/>
  <c r="E12"/>
  <c r="E11"/>
  <c r="G10"/>
  <c r="E9"/>
  <c r="I8"/>
  <c r="E8"/>
  <c r="I7"/>
  <c r="E7"/>
  <c r="I6"/>
  <c r="E6"/>
  <c r="I5"/>
  <c r="E5"/>
  <c r="I4"/>
  <c r="E4"/>
  <c r="J3"/>
  <c r="I3"/>
  <c r="G3"/>
  <c r="K3" s="1"/>
  <c r="E58" i="4"/>
  <c r="E57"/>
  <c r="E56"/>
  <c r="E55"/>
  <c r="E54"/>
  <c r="E53"/>
  <c r="G52"/>
  <c r="E51"/>
  <c r="E50"/>
  <c r="E49"/>
  <c r="E48"/>
  <c r="E47"/>
  <c r="E46"/>
  <c r="G45"/>
  <c r="E44"/>
  <c r="E43"/>
  <c r="E42"/>
  <c r="E41"/>
  <c r="E40"/>
  <c r="E39"/>
  <c r="G38"/>
  <c r="E37"/>
  <c r="E36"/>
  <c r="E35"/>
  <c r="E34"/>
  <c r="E33"/>
  <c r="E32"/>
  <c r="G31"/>
  <c r="E30"/>
  <c r="E29"/>
  <c r="E28"/>
  <c r="E27"/>
  <c r="E26"/>
  <c r="E25"/>
  <c r="G24"/>
  <c r="E23"/>
  <c r="E22"/>
  <c r="E21"/>
  <c r="E20"/>
  <c r="O19"/>
  <c r="M19"/>
  <c r="P19" s="1"/>
  <c r="E19"/>
  <c r="O18"/>
  <c r="M18"/>
  <c r="P18" s="1"/>
  <c r="E18"/>
  <c r="O17"/>
  <c r="M17"/>
  <c r="P17" s="1"/>
  <c r="G17"/>
  <c r="O16"/>
  <c r="M16"/>
  <c r="P16" s="1"/>
  <c r="E16"/>
  <c r="O15"/>
  <c r="M15"/>
  <c r="P15" s="1"/>
  <c r="E15"/>
  <c r="O14"/>
  <c r="M14"/>
  <c r="P14" s="1"/>
  <c r="E14"/>
  <c r="O13"/>
  <c r="M13"/>
  <c r="P13" s="1"/>
  <c r="E13"/>
  <c r="O12"/>
  <c r="O20" s="1"/>
  <c r="F22" i="2" s="1"/>
  <c r="M12" i="4"/>
  <c r="P12" s="1"/>
  <c r="P20" s="1"/>
  <c r="G22" i="2" s="1"/>
  <c r="E12" i="4"/>
  <c r="E11"/>
  <c r="G10"/>
  <c r="E9"/>
  <c r="I8"/>
  <c r="E8"/>
  <c r="I7"/>
  <c r="E7"/>
  <c r="I6"/>
  <c r="E6"/>
  <c r="I5"/>
  <c r="E5"/>
  <c r="I4"/>
  <c r="E4"/>
  <c r="J3"/>
  <c r="I3"/>
  <c r="G3"/>
  <c r="K3" s="1"/>
  <c r="G80" i="3"/>
  <c r="E74"/>
  <c r="E73"/>
  <c r="E72"/>
  <c r="E71"/>
  <c r="E70"/>
  <c r="E69"/>
  <c r="G68"/>
  <c r="E67"/>
  <c r="E66"/>
  <c r="E65"/>
  <c r="E64"/>
  <c r="E63"/>
  <c r="E62"/>
  <c r="G61"/>
  <c r="E60"/>
  <c r="E59"/>
  <c r="E58"/>
  <c r="E57"/>
  <c r="E56"/>
  <c r="E55"/>
  <c r="G54"/>
  <c r="E53"/>
  <c r="E52"/>
  <c r="E51"/>
  <c r="E50"/>
  <c r="E49"/>
  <c r="E48"/>
  <c r="G47"/>
  <c r="E46"/>
  <c r="E45"/>
  <c r="E44"/>
  <c r="E43"/>
  <c r="E42"/>
  <c r="E41"/>
  <c r="G40"/>
  <c r="E39"/>
  <c r="E38"/>
  <c r="E37"/>
  <c r="E36"/>
  <c r="E35"/>
  <c r="E34"/>
  <c r="G33"/>
  <c r="E32"/>
  <c r="E31"/>
  <c r="E30"/>
  <c r="E29"/>
  <c r="E28"/>
  <c r="E27"/>
  <c r="G26"/>
  <c r="E23"/>
  <c r="E22"/>
  <c r="E21"/>
  <c r="E20"/>
  <c r="O19"/>
  <c r="M19"/>
  <c r="P19" s="1"/>
  <c r="E19"/>
  <c r="O18"/>
  <c r="M18"/>
  <c r="P18" s="1"/>
  <c r="E18"/>
  <c r="P17"/>
  <c r="O17"/>
  <c r="M17"/>
  <c r="G17"/>
  <c r="O16"/>
  <c r="M16"/>
  <c r="P16" s="1"/>
  <c r="E16"/>
  <c r="O15"/>
  <c r="M15"/>
  <c r="P15" s="1"/>
  <c r="E15"/>
  <c r="O14"/>
  <c r="M14"/>
  <c r="P14" s="1"/>
  <c r="E14"/>
  <c r="P13"/>
  <c r="O13"/>
  <c r="M13"/>
  <c r="E13"/>
  <c r="O12"/>
  <c r="M12"/>
  <c r="P12" s="1"/>
  <c r="E12"/>
  <c r="E11"/>
  <c r="G10"/>
  <c r="E9"/>
  <c r="I8"/>
  <c r="E8"/>
  <c r="I7"/>
  <c r="E7"/>
  <c r="I6"/>
  <c r="E6"/>
  <c r="I5"/>
  <c r="E5"/>
  <c r="I4"/>
  <c r="E4"/>
  <c r="J3"/>
  <c r="C21" i="2" s="1"/>
  <c r="I3" i="3"/>
  <c r="G3"/>
  <c r="C35" i="2"/>
  <c r="B35"/>
  <c r="C34"/>
  <c r="B34"/>
  <c r="C33"/>
  <c r="B33"/>
  <c r="C32"/>
  <c r="B32"/>
  <c r="C31"/>
  <c r="B31"/>
  <c r="C30"/>
  <c r="B30"/>
  <c r="C29"/>
  <c r="B29"/>
  <c r="C28"/>
  <c r="B28"/>
  <c r="C27"/>
  <c r="B27"/>
  <c r="C26"/>
  <c r="B26"/>
  <c r="C25"/>
  <c r="B25"/>
  <c r="C24"/>
  <c r="B24"/>
  <c r="C23"/>
  <c r="B23"/>
  <c r="C22"/>
  <c r="B22"/>
  <c r="B21"/>
  <c r="K12"/>
  <c r="H8" i="17" s="1"/>
  <c r="K11" i="2"/>
  <c r="H7" i="17" s="1"/>
  <c r="K10" i="2"/>
  <c r="H6" i="17" s="1"/>
  <c r="K9" i="2"/>
  <c r="H5" i="17" s="1"/>
  <c r="K8" i="2"/>
  <c r="H4" i="17" s="1"/>
  <c r="K7" i="2"/>
  <c r="H3" i="17" s="1"/>
  <c r="K6" i="2"/>
  <c r="D10" i="14" s="1"/>
  <c r="C36" i="2" l="1"/>
  <c r="B6" s="1"/>
  <c r="K3" i="3"/>
  <c r="O21"/>
  <c r="F21" i="2" s="1"/>
  <c r="F36" s="1"/>
  <c r="B14" s="1"/>
  <c r="P21" i="3"/>
  <c r="G21" i="2" s="1"/>
  <c r="B36"/>
  <c r="B5" s="1"/>
  <c r="D21"/>
  <c r="D22"/>
  <c r="D28"/>
  <c r="D35"/>
  <c r="P20" i="5"/>
  <c r="G23" i="2" s="1"/>
  <c r="D25"/>
  <c r="D27"/>
  <c r="D32"/>
  <c r="D23"/>
  <c r="D29"/>
  <c r="D30"/>
  <c r="D31"/>
  <c r="P17" i="6"/>
  <c r="G24" i="2" s="1"/>
  <c r="P14" i="7"/>
  <c r="G25" i="2" s="1"/>
  <c r="D24"/>
  <c r="D26"/>
  <c r="P20" i="8"/>
  <c r="G26" i="2" s="1"/>
  <c r="D15" i="3"/>
  <c r="D19"/>
  <c r="H3" i="4"/>
  <c r="H4"/>
  <c r="H5"/>
  <c r="H6"/>
  <c r="H7"/>
  <c r="H8"/>
  <c r="D10"/>
  <c r="D12"/>
  <c r="D16"/>
  <c r="D20"/>
  <c r="D21"/>
  <c r="D23"/>
  <c r="D25"/>
  <c r="D27"/>
  <c r="D29"/>
  <c r="D31"/>
  <c r="D33"/>
  <c r="D35"/>
  <c r="D37"/>
  <c r="D39"/>
  <c r="D41"/>
  <c r="D43"/>
  <c r="D45"/>
  <c r="D47"/>
  <c r="D49"/>
  <c r="D51"/>
  <c r="D53"/>
  <c r="D55"/>
  <c r="D57"/>
  <c r="D3" i="5"/>
  <c r="D4"/>
  <c r="D5"/>
  <c r="D6"/>
  <c r="D7"/>
  <c r="D8"/>
  <c r="D9"/>
  <c r="D11"/>
  <c r="D14"/>
  <c r="D18"/>
  <c r="D22"/>
  <c r="D24"/>
  <c r="D26"/>
  <c r="D28"/>
  <c r="D30"/>
  <c r="D32"/>
  <c r="D34"/>
  <c r="D36"/>
  <c r="D38"/>
  <c r="D40"/>
  <c r="D42"/>
  <c r="D44"/>
  <c r="D46"/>
  <c r="D48"/>
  <c r="D50"/>
  <c r="D52"/>
  <c r="D54"/>
  <c r="D56"/>
  <c r="D58"/>
  <c r="H3" i="6"/>
  <c r="H4"/>
  <c r="H5"/>
  <c r="H6"/>
  <c r="H7"/>
  <c r="H8"/>
  <c r="D10"/>
  <c r="D12"/>
  <c r="D16"/>
  <c r="D43"/>
  <c r="D47"/>
  <c r="D48"/>
  <c r="D50"/>
  <c r="D52"/>
  <c r="D54"/>
  <c r="D56"/>
  <c r="D58"/>
  <c r="D60"/>
  <c r="D62"/>
  <c r="D64"/>
  <c r="D66"/>
  <c r="D68"/>
  <c r="D70"/>
  <c r="D72"/>
  <c r="D74"/>
  <c r="D3" i="7"/>
  <c r="D4"/>
  <c r="D5"/>
  <c r="D6"/>
  <c r="D7"/>
  <c r="D8"/>
  <c r="D9"/>
  <c r="D16"/>
  <c r="D18"/>
  <c r="D3" i="8"/>
  <c r="D4"/>
  <c r="D5"/>
  <c r="D6"/>
  <c r="D7"/>
  <c r="D8"/>
  <c r="D9"/>
  <c r="D11"/>
  <c r="D15"/>
  <c r="D19"/>
  <c r="D14" i="9"/>
  <c r="D18"/>
  <c r="D22"/>
  <c r="R1" i="10"/>
  <c r="D12" i="14"/>
  <c r="D16"/>
  <c r="D18"/>
  <c r="D20"/>
  <c r="D22"/>
  <c r="O2" i="15"/>
  <c r="S2"/>
  <c r="D3" i="3"/>
  <c r="D4"/>
  <c r="D5"/>
  <c r="D6"/>
  <c r="D7"/>
  <c r="D8"/>
  <c r="D9"/>
  <c r="D11"/>
  <c r="D14"/>
  <c r="D18"/>
  <c r="D21"/>
  <c r="D22"/>
  <c r="D26"/>
  <c r="D28"/>
  <c r="D30"/>
  <c r="D32"/>
  <c r="D34"/>
  <c r="D36"/>
  <c r="D38"/>
  <c r="D40"/>
  <c r="D42"/>
  <c r="D44"/>
  <c r="D46"/>
  <c r="D48"/>
  <c r="D50"/>
  <c r="D52"/>
  <c r="D54"/>
  <c r="D56"/>
  <c r="D58"/>
  <c r="D60"/>
  <c r="D62"/>
  <c r="D64"/>
  <c r="D66"/>
  <c r="D68"/>
  <c r="D70"/>
  <c r="D72"/>
  <c r="D74"/>
  <c r="D15" i="4"/>
  <c r="D19"/>
  <c r="D13" i="5"/>
  <c r="D17"/>
  <c r="D15" i="6"/>
  <c r="D19"/>
  <c r="D21"/>
  <c r="D23"/>
  <c r="D25"/>
  <c r="D27"/>
  <c r="D29"/>
  <c r="D31"/>
  <c r="D33"/>
  <c r="D35"/>
  <c r="D37"/>
  <c r="D42"/>
  <c r="D46"/>
  <c r="D14" i="8"/>
  <c r="D18"/>
  <c r="D22"/>
  <c r="D24"/>
  <c r="D26"/>
  <c r="D28"/>
  <c r="D30"/>
  <c r="D32"/>
  <c r="D34"/>
  <c r="D36"/>
  <c r="D38"/>
  <c r="D40"/>
  <c r="D42"/>
  <c r="D44"/>
  <c r="D49"/>
  <c r="D51"/>
  <c r="D53"/>
  <c r="D55"/>
  <c r="D57"/>
  <c r="D59"/>
  <c r="D61"/>
  <c r="H3" i="9"/>
  <c r="H4"/>
  <c r="H5"/>
  <c r="H6"/>
  <c r="H7"/>
  <c r="H8"/>
  <c r="D10"/>
  <c r="D13"/>
  <c r="D17"/>
  <c r="D21"/>
  <c r="D25"/>
  <c r="D27"/>
  <c r="D29"/>
  <c r="D31"/>
  <c r="D33"/>
  <c r="D35"/>
  <c r="D37"/>
  <c r="D39"/>
  <c r="D41"/>
  <c r="D43"/>
  <c r="D45"/>
  <c r="D47"/>
  <c r="D49"/>
  <c r="D51"/>
  <c r="D53"/>
  <c r="D55"/>
  <c r="D57"/>
  <c r="D59"/>
  <c r="D61"/>
  <c r="D63"/>
  <c r="D65"/>
  <c r="D67"/>
  <c r="D69"/>
  <c r="D71"/>
  <c r="D76"/>
  <c r="D78"/>
  <c r="D80"/>
  <c r="D82"/>
  <c r="D84"/>
  <c r="D86"/>
  <c r="D88"/>
  <c r="D90"/>
  <c r="D92"/>
  <c r="D94"/>
  <c r="D96"/>
  <c r="D98"/>
  <c r="D100"/>
  <c r="D102"/>
  <c r="D104"/>
  <c r="D106"/>
  <c r="D108"/>
  <c r="D110"/>
  <c r="Q1" i="10"/>
  <c r="H3" i="11"/>
  <c r="H4"/>
  <c r="H5"/>
  <c r="H6"/>
  <c r="H7"/>
  <c r="H8"/>
  <c r="D10"/>
  <c r="D12"/>
  <c r="D14"/>
  <c r="D16"/>
  <c r="D18"/>
  <c r="D20"/>
  <c r="D22"/>
  <c r="D3" i="12"/>
  <c r="D4"/>
  <c r="D5"/>
  <c r="D6"/>
  <c r="D7"/>
  <c r="D8"/>
  <c r="D9"/>
  <c r="D11"/>
  <c r="D13"/>
  <c r="D15"/>
  <c r="D17"/>
  <c r="D19"/>
  <c r="D21"/>
  <c r="D23"/>
  <c r="H3" i="13"/>
  <c r="H4"/>
  <c r="H5"/>
  <c r="H6"/>
  <c r="H7"/>
  <c r="H8"/>
  <c r="D10"/>
  <c r="D12"/>
  <c r="D14"/>
  <c r="D16"/>
  <c r="D18"/>
  <c r="D20"/>
  <c r="D22"/>
  <c r="D24"/>
  <c r="D26"/>
  <c r="D28"/>
  <c r="D30"/>
  <c r="D32"/>
  <c r="D34"/>
  <c r="D36"/>
  <c r="D3" i="14"/>
  <c r="D4"/>
  <c r="D5"/>
  <c r="D6"/>
  <c r="D7"/>
  <c r="D8"/>
  <c r="D9"/>
  <c r="D11"/>
  <c r="R2" i="15"/>
  <c r="D3" i="17"/>
  <c r="D4"/>
  <c r="D5"/>
  <c r="D6"/>
  <c r="D7"/>
  <c r="D8"/>
  <c r="D9"/>
  <c r="D13" i="3"/>
  <c r="D17"/>
  <c r="D3" i="4"/>
  <c r="D4"/>
  <c r="D5"/>
  <c r="D6"/>
  <c r="D7"/>
  <c r="D8"/>
  <c r="D9"/>
  <c r="D11"/>
  <c r="D14"/>
  <c r="D18"/>
  <c r="D22"/>
  <c r="D24"/>
  <c r="D26"/>
  <c r="D28"/>
  <c r="D30"/>
  <c r="D32"/>
  <c r="D34"/>
  <c r="D36"/>
  <c r="D38"/>
  <c r="D40"/>
  <c r="D42"/>
  <c r="D44"/>
  <c r="D46"/>
  <c r="D48"/>
  <c r="D50"/>
  <c r="D52"/>
  <c r="D54"/>
  <c r="D56"/>
  <c r="D58"/>
  <c r="H3" i="5"/>
  <c r="H4"/>
  <c r="H5"/>
  <c r="H6"/>
  <c r="H7"/>
  <c r="H8"/>
  <c r="D10"/>
  <c r="D12"/>
  <c r="D16"/>
  <c r="D20"/>
  <c r="D21"/>
  <c r="D23"/>
  <c r="D25"/>
  <c r="D27"/>
  <c r="D29"/>
  <c r="D31"/>
  <c r="D33"/>
  <c r="D35"/>
  <c r="D37"/>
  <c r="D39"/>
  <c r="D41"/>
  <c r="D43"/>
  <c r="D45"/>
  <c r="D47"/>
  <c r="D49"/>
  <c r="D51"/>
  <c r="D53"/>
  <c r="D55"/>
  <c r="D57"/>
  <c r="D3" i="6"/>
  <c r="D4"/>
  <c r="D5"/>
  <c r="D6"/>
  <c r="D7"/>
  <c r="D8"/>
  <c r="D9"/>
  <c r="D11"/>
  <c r="D14"/>
  <c r="D45"/>
  <c r="D49"/>
  <c r="D51"/>
  <c r="D53"/>
  <c r="D55"/>
  <c r="D57"/>
  <c r="D59"/>
  <c r="D61"/>
  <c r="D63"/>
  <c r="D65"/>
  <c r="D67"/>
  <c r="D69"/>
  <c r="D71"/>
  <c r="D73"/>
  <c r="D75"/>
  <c r="H3" i="7"/>
  <c r="H4"/>
  <c r="H5"/>
  <c r="H6"/>
  <c r="H7"/>
  <c r="H8"/>
  <c r="D14"/>
  <c r="D15"/>
  <c r="D17"/>
  <c r="D19"/>
  <c r="H3" i="8"/>
  <c r="H4"/>
  <c r="H5"/>
  <c r="H6"/>
  <c r="H7"/>
  <c r="H8"/>
  <c r="D10"/>
  <c r="D13"/>
  <c r="D17"/>
  <c r="D12" i="9"/>
  <c r="D16"/>
  <c r="D20"/>
  <c r="P1" i="10"/>
  <c r="T1"/>
  <c r="D14" i="14"/>
  <c r="D15"/>
  <c r="D17"/>
  <c r="D19"/>
  <c r="D21"/>
  <c r="D23"/>
  <c r="Q2" i="15"/>
  <c r="H3" i="3"/>
  <c r="H4"/>
  <c r="H5"/>
  <c r="H6"/>
  <c r="H7"/>
  <c r="H8"/>
  <c r="D10"/>
  <c r="D12"/>
  <c r="D16"/>
  <c r="D20"/>
  <c r="D23"/>
  <c r="D27"/>
  <c r="D29"/>
  <c r="D31"/>
  <c r="D33"/>
  <c r="D35"/>
  <c r="D37"/>
  <c r="D39"/>
  <c r="D41"/>
  <c r="D43"/>
  <c r="D45"/>
  <c r="D47"/>
  <c r="D49"/>
  <c r="D51"/>
  <c r="D53"/>
  <c r="D55"/>
  <c r="D57"/>
  <c r="D59"/>
  <c r="D61"/>
  <c r="D63"/>
  <c r="D65"/>
  <c r="D67"/>
  <c r="D69"/>
  <c r="D71"/>
  <c r="D73"/>
  <c r="D13" i="4"/>
  <c r="D17"/>
  <c r="D15" i="5"/>
  <c r="D19"/>
  <c r="D13" i="6"/>
  <c r="D17"/>
  <c r="D18"/>
  <c r="D20"/>
  <c r="D22"/>
  <c r="D24"/>
  <c r="D26"/>
  <c r="D28"/>
  <c r="D30"/>
  <c r="D32"/>
  <c r="D34"/>
  <c r="D36"/>
  <c r="D41"/>
  <c r="D44"/>
  <c r="D13" i="7"/>
  <c r="D12" i="8"/>
  <c r="D16"/>
  <c r="D20"/>
  <c r="D21"/>
  <c r="D23"/>
  <c r="D25"/>
  <c r="D27"/>
  <c r="D29"/>
  <c r="D31"/>
  <c r="D33"/>
  <c r="D35"/>
  <c r="D37"/>
  <c r="D39"/>
  <c r="D41"/>
  <c r="D43"/>
  <c r="D48"/>
  <c r="D50"/>
  <c r="D52"/>
  <c r="D54"/>
  <c r="D56"/>
  <c r="D58"/>
  <c r="D60"/>
  <c r="D3" i="9"/>
  <c r="D4"/>
  <c r="D5"/>
  <c r="D6"/>
  <c r="D7"/>
  <c r="D8"/>
  <c r="D9"/>
  <c r="D11"/>
  <c r="D15"/>
  <c r="D19"/>
  <c r="D23"/>
  <c r="D24"/>
  <c r="D26"/>
  <c r="D28"/>
  <c r="D30"/>
  <c r="D32"/>
  <c r="D34"/>
  <c r="D36"/>
  <c r="D38"/>
  <c r="D40"/>
  <c r="D42"/>
  <c r="D44"/>
  <c r="D46"/>
  <c r="D48"/>
  <c r="D50"/>
  <c r="D52"/>
  <c r="D54"/>
  <c r="D56"/>
  <c r="D58"/>
  <c r="D60"/>
  <c r="D62"/>
  <c r="D64"/>
  <c r="D66"/>
  <c r="D68"/>
  <c r="D70"/>
  <c r="D72"/>
  <c r="D77"/>
  <c r="D79"/>
  <c r="D81"/>
  <c r="D83"/>
  <c r="D85"/>
  <c r="D87"/>
  <c r="D89"/>
  <c r="D91"/>
  <c r="D93"/>
  <c r="D95"/>
  <c r="D97"/>
  <c r="D99"/>
  <c r="D101"/>
  <c r="D103"/>
  <c r="D105"/>
  <c r="D107"/>
  <c r="D109"/>
  <c r="O1" i="10"/>
  <c r="S1"/>
  <c r="D3" i="11"/>
  <c r="D4"/>
  <c r="D5"/>
  <c r="D6"/>
  <c r="D7"/>
  <c r="D8"/>
  <c r="D9"/>
  <c r="D11"/>
  <c r="D13"/>
  <c r="D15"/>
  <c r="D17"/>
  <c r="D19"/>
  <c r="D21"/>
  <c r="D23"/>
  <c r="H3" i="12"/>
  <c r="H4"/>
  <c r="H5"/>
  <c r="H6"/>
  <c r="H7"/>
  <c r="H8"/>
  <c r="D10"/>
  <c r="D12"/>
  <c r="D14"/>
  <c r="D16"/>
  <c r="D18"/>
  <c r="D20"/>
  <c r="D22"/>
  <c r="D3" i="13"/>
  <c r="D4"/>
  <c r="D5"/>
  <c r="D6"/>
  <c r="D7"/>
  <c r="D8"/>
  <c r="D9"/>
  <c r="D11"/>
  <c r="D13"/>
  <c r="D15"/>
  <c r="D17"/>
  <c r="D19"/>
  <c r="D21"/>
  <c r="D23"/>
  <c r="D25"/>
  <c r="D27"/>
  <c r="D29"/>
  <c r="D31"/>
  <c r="D33"/>
  <c r="D35"/>
  <c r="D37"/>
  <c r="H3" i="14"/>
  <c r="H4"/>
  <c r="H5"/>
  <c r="H6"/>
  <c r="H7"/>
  <c r="H8"/>
  <c r="D13"/>
  <c r="P2" i="15"/>
  <c r="T2"/>
  <c r="G36" i="2" l="1"/>
  <c r="B15" s="1"/>
  <c r="D36"/>
  <c r="B7" s="1"/>
  <c r="B16" l="1"/>
  <c r="B9" l="1"/>
  <c r="B12"/>
  <c r="A13" s="1"/>
  <c r="B8"/>
  <c r="L3" i="17" l="1"/>
  <c r="M3" s="1"/>
  <c r="G11" i="16"/>
  <c r="G9"/>
  <c r="G7"/>
  <c r="G5"/>
  <c r="G3"/>
  <c r="F32" i="15"/>
  <c r="F30"/>
  <c r="F24"/>
  <c r="L3" i="14"/>
  <c r="M3" s="1"/>
  <c r="L3" i="12"/>
  <c r="M3" s="1"/>
  <c r="F8" i="10"/>
  <c r="F6"/>
  <c r="F4"/>
  <c r="L3" i="3"/>
  <c r="M3" s="1"/>
  <c r="F20" i="15"/>
  <c r="F17"/>
  <c r="F15"/>
  <c r="F12"/>
  <c r="F10"/>
  <c r="F8"/>
  <c r="F6"/>
  <c r="F4"/>
  <c r="L3"/>
  <c r="M3" s="1"/>
  <c r="F3"/>
  <c r="L3" i="8"/>
  <c r="M3" s="1"/>
  <c r="L3" i="7"/>
  <c r="M3" s="1"/>
  <c r="L3" i="5"/>
  <c r="M3" s="1"/>
  <c r="G10" i="16"/>
  <c r="G8"/>
  <c r="G6"/>
  <c r="G4"/>
  <c r="M2"/>
  <c r="N2" s="1"/>
  <c r="G2"/>
  <c r="F31" i="15"/>
  <c r="F25"/>
  <c r="F23"/>
  <c r="L3" i="13"/>
  <c r="M3" s="1"/>
  <c r="L3" i="11"/>
  <c r="M3" s="1"/>
  <c r="F9" i="10"/>
  <c r="F7"/>
  <c r="F5"/>
  <c r="F3"/>
  <c r="L2"/>
  <c r="M2" s="1"/>
  <c r="F2"/>
  <c r="L3" i="9"/>
  <c r="M3" s="1"/>
  <c r="F21" i="15"/>
  <c r="F19"/>
  <c r="F16"/>
  <c r="F13"/>
  <c r="F11"/>
  <c r="F9"/>
  <c r="F7"/>
  <c r="F5"/>
  <c r="L3" i="6"/>
  <c r="M3" s="1"/>
  <c r="L3" i="4"/>
  <c r="M3" s="1"/>
  <c r="E33" i="2"/>
  <c r="E34"/>
  <c r="E27"/>
  <c r="E31"/>
  <c r="E25"/>
  <c r="E28"/>
  <c r="E24"/>
  <c r="E21"/>
  <c r="E26"/>
  <c r="E32"/>
  <c r="E22"/>
  <c r="E23"/>
  <c r="E29"/>
  <c r="E35"/>
  <c r="E30"/>
  <c r="B10"/>
  <c r="B11" s="1"/>
  <c r="E36" l="1"/>
</calcChain>
</file>

<file path=xl/sharedStrings.xml><?xml version="1.0" encoding="utf-8"?>
<sst xmlns="http://schemas.openxmlformats.org/spreadsheetml/2006/main" count="1023" uniqueCount="311">
  <si>
    <t>ООО «КАСКАД»</t>
  </si>
  <si>
    <t>Прайс-лист с 01.03.2026 · цены указаны с НДС</t>
  </si>
  <si>
    <t>Сайт</t>
  </si>
  <si>
    <t>kne.su</t>
  </si>
  <si>
    <t>названия товаров в прайсе — ссылки на их страницы на сайте</t>
  </si>
  <si>
    <t>Адрес</t>
  </si>
  <si>
    <t>454087, г. Челябинск, ул. Кузнецова, 47</t>
  </si>
  <si>
    <t>Телефоны</t>
  </si>
  <si>
    <t>8-800-100-33-20</t>
  </si>
  <si>
    <t>звонок бесплатный</t>
  </si>
  <si>
    <t>(351) 729-29-34</t>
  </si>
  <si>
    <t>230-24-13</t>
  </si>
  <si>
    <t>269-76-80</t>
  </si>
  <si>
    <t>8-952-510-38-56</t>
  </si>
  <si>
    <t>Электронная почта</t>
  </si>
  <si>
    <t>info@kne.su</t>
  </si>
  <si>
    <t>kaskadtermos@list.ru</t>
  </si>
  <si>
    <t>kaskadtermos@mail.ru</t>
  </si>
  <si>
    <t>Мессенджеры</t>
  </si>
  <si>
    <t>WhatsApp</t>
  </si>
  <si>
    <t>Telegram</t>
  </si>
  <si>
    <t>MAX</t>
  </si>
  <si>
    <t>Соцсети</t>
  </si>
  <si>
    <t>Telegram-канал</t>
  </si>
  <si>
    <t>ВКонтакте</t>
  </si>
  <si>
    <t>Расчёт заказа со скидкой — лист «ИТОГО»</t>
  </si>
  <si>
    <t>Расчёт заказа</t>
  </si>
  <si>
    <t>Впишите количество в зелёные ячейки «Количество» на листах с товарами. Скидка считается от суммы всего заказа: ступень и цены со скидкой подсвечиваются голубым на всех листах.</t>
  </si>
  <si>
    <t>Итог заказа</t>
  </si>
  <si>
    <t>Система скидок (от суммы всего заказа)</t>
  </si>
  <si>
    <t>Наименований в заказе</t>
  </si>
  <si>
    <t>№</t>
  </si>
  <si>
    <t>Сумма заказа от, руб.</t>
  </si>
  <si>
    <t>Ступень</t>
  </si>
  <si>
    <t>Скидка</t>
  </si>
  <si>
    <t>Штук всего</t>
  </si>
  <si>
    <t>Сумма без скидки</t>
  </si>
  <si>
    <t>Ступень (сумма заказа, руб.)</t>
  </si>
  <si>
    <t>Скидка, руб.</t>
  </si>
  <si>
    <t>Итого со скидкой</t>
  </si>
  <si>
    <t>До следующей ступени</t>
  </si>
  <si>
    <t>Общий вес, кг*</t>
  </si>
  <si>
    <t>Синие цифры — пороги и проценты скидок. Меняются только здесь: цены по ступеням на всех листах пересчитаются сами. Первый порог всегда 0.</t>
  </si>
  <si>
    <t>Общий объём, м³*</t>
  </si>
  <si>
    <t>Номер ступени (служебная ячейка)</t>
  </si>
  <si>
    <t>* только по разделам, где указаны размеры и вес в упаковке</t>
  </si>
  <si>
    <t>Разделы прайса (нажмите на название, чтобы перейти)</t>
  </si>
  <si>
    <t>Раздел</t>
  </si>
  <si>
    <t>Наименований</t>
  </si>
  <si>
    <t>Штук</t>
  </si>
  <si>
    <t>Сумма со скидкой</t>
  </si>
  <si>
    <t>Вес, кг</t>
  </si>
  <si>
    <t>Объём, м³</t>
  </si>
  <si>
    <t>Кипятильники</t>
  </si>
  <si>
    <t>Термосы эмалированные</t>
  </si>
  <si>
    <t>Термосы нержавеющие</t>
  </si>
  <si>
    <t>Термосы с краном</t>
  </si>
  <si>
    <t>Термосы на колесах</t>
  </si>
  <si>
    <t>Бидоны</t>
  </si>
  <si>
    <t>Баки</t>
  </si>
  <si>
    <t>Подносы</t>
  </si>
  <si>
    <t>—</t>
  </si>
  <si>
    <t>Мармиты</t>
  </si>
  <si>
    <t>Сыроварни</t>
  </si>
  <si>
    <t>Дистилляторы</t>
  </si>
  <si>
    <t>ЦКТ</t>
  </si>
  <si>
    <t>Комплектующие</t>
  </si>
  <si>
    <t>Канистры</t>
  </si>
  <si>
    <t>Контейнер для ТКО и ТБО</t>
  </si>
  <si>
    <t>Итого</t>
  </si>
  <si>
    <t>Ремонт кипятильников — отдельный лист, в расчёт заказа не входит.</t>
  </si>
  <si>
    <t>Кипятильник Электрический Непрерывного Действия КНЭ</t>
  </si>
  <si>
    <t>№п/п</t>
  </si>
  <si>
    <t>Фото</t>
  </si>
  <si>
    <t>Наименование</t>
  </si>
  <si>
    <t>Сумма заказа, руб.</t>
  </si>
  <si>
    <t xml:space="preserve">Цена с НДС </t>
  </si>
  <si>
    <t>Количество</t>
  </si>
  <si>
    <t>Сумма</t>
  </si>
  <si>
    <t>Итого,шт.</t>
  </si>
  <si>
    <t>Итого сумма</t>
  </si>
  <si>
    <t>КНЭ-50/100</t>
  </si>
  <si>
    <t>КНЭ-50/100Б</t>
  </si>
  <si>
    <t>Размер и вес в упаковке</t>
  </si>
  <si>
    <t>№ п/п</t>
  </si>
  <si>
    <t>Наименование изделия</t>
  </si>
  <si>
    <t>Длина</t>
  </si>
  <si>
    <t>Ширина</t>
  </si>
  <si>
    <t>Высота</t>
  </si>
  <si>
    <t>Объем</t>
  </si>
  <si>
    <t xml:space="preserve">Вес </t>
  </si>
  <si>
    <t>Общий вес</t>
  </si>
  <si>
    <t>Общий объем</t>
  </si>
  <si>
    <t>КНЭ-50/100 Б</t>
  </si>
  <si>
    <t>КНЭ-25</t>
  </si>
  <si>
    <t>КНА-10</t>
  </si>
  <si>
    <t>КНА-15</t>
  </si>
  <si>
    <t>КНА-25</t>
  </si>
  <si>
    <t>КНА-40</t>
  </si>
  <si>
    <t>КНА-60</t>
  </si>
  <si>
    <t>Итого:</t>
  </si>
  <si>
    <t>Размер без упаковки</t>
  </si>
  <si>
    <t>Вес</t>
  </si>
  <si>
    <t>Кипятильник Наливной КНА с автовыключением и режимом поддержания температуры</t>
  </si>
  <si>
    <t>315±5 мм.</t>
  </si>
  <si>
    <t>245±5 мм.</t>
  </si>
  <si>
    <t>410±5 мм.</t>
  </si>
  <si>
    <t>Цена с НДС</t>
  </si>
  <si>
    <t>375±5 мм.</t>
  </si>
  <si>
    <t>305±5 мм.</t>
  </si>
  <si>
    <t>550±5 мм.</t>
  </si>
  <si>
    <t>КНА-4</t>
  </si>
  <si>
    <t>310±5 мм.</t>
  </si>
  <si>
    <t>480±5 мм.</t>
  </si>
  <si>
    <t>430±5 мм.</t>
  </si>
  <si>
    <t>580±5 мм.</t>
  </si>
  <si>
    <t>500±5 мм.</t>
  </si>
  <si>
    <t>390±5 мм.</t>
  </si>
  <si>
    <t>560±5 мм.</t>
  </si>
  <si>
    <t>740±5 мм.</t>
  </si>
  <si>
    <t>КНА-6</t>
  </si>
  <si>
    <t>Подставка под кипятильники и т.д</t>
  </si>
  <si>
    <t>Количество,шт.</t>
  </si>
  <si>
    <t>Подставка</t>
  </si>
  <si>
    <t>от 1 шт.</t>
  </si>
  <si>
    <t>Подставка под кипятильники</t>
  </si>
  <si>
    <t>Размер подставки, мм.</t>
  </si>
  <si>
    <t>-</t>
  </si>
  <si>
    <t>Термос Армейский ТГ эмалированный с нержавеющей емкостью</t>
  </si>
  <si>
    <t>ТГ-4</t>
  </si>
  <si>
    <t>ТГ-6</t>
  </si>
  <si>
    <t>Общий Вес</t>
  </si>
  <si>
    <t>ТГ-9</t>
  </si>
  <si>
    <t>ТГ-12</t>
  </si>
  <si>
    <t>ТГ-12 с боковыми ручками</t>
  </si>
  <si>
    <t>ТГ-18</t>
  </si>
  <si>
    <t>ТГ-24</t>
  </si>
  <si>
    <t>ТГ-36</t>
  </si>
  <si>
    <t>Размер и вес без упаковки</t>
  </si>
  <si>
    <t>320±5 мм.</t>
  </si>
  <si>
    <t>290±5 мм.</t>
  </si>
  <si>
    <t>345±5 мм.</t>
  </si>
  <si>
    <t>415±5 мм.</t>
  </si>
  <si>
    <t>420±5 мм.</t>
  </si>
  <si>
    <t>495±5 мм.</t>
  </si>
  <si>
    <t>385±5 мм.</t>
  </si>
  <si>
    <t>515±5 мм.</t>
  </si>
  <si>
    <t>660±5 мм.</t>
  </si>
  <si>
    <t>ТГ-24/ТГ-25</t>
  </si>
  <si>
    <t>Термос Армейский ТГ полностью нержавеющий.</t>
  </si>
  <si>
    <t>ТГн-4</t>
  </si>
  <si>
    <t>ТГн-6</t>
  </si>
  <si>
    <t>ТГн-9</t>
  </si>
  <si>
    <t>ТГн-12</t>
  </si>
  <si>
    <t>ТГн-12 с боковыми ручками</t>
  </si>
  <si>
    <t>ТГн-18</t>
  </si>
  <si>
    <t>ТГн-24</t>
  </si>
  <si>
    <t>ТГн-36</t>
  </si>
  <si>
    <t>ТГн-24/ТГн-25</t>
  </si>
  <si>
    <t>Термос Армейский ТГ эмалированный с нержавеющей емкостью и краном.</t>
  </si>
  <si>
    <t>Термос Армейский ТГн полностью нержавеющий с краном.</t>
  </si>
  <si>
    <t>Цена с НДС 22%</t>
  </si>
  <si>
    <t>Термос Армейский ТГ эмалированный с нержавеющей емкостью на колесах.</t>
  </si>
  <si>
    <t>ТГ-36 на колесах</t>
  </si>
  <si>
    <t>Термос Армейский ТГн полностью нержавеющий на колесах.</t>
  </si>
  <si>
    <t>ТГн-36 на колесах</t>
  </si>
  <si>
    <t>БИДОН (ФЛЯГА) нержавеющий БДН (новый).</t>
  </si>
  <si>
    <t>БДН-6</t>
  </si>
  <si>
    <t>БДН-9</t>
  </si>
  <si>
    <t>общий объем</t>
  </si>
  <si>
    <t>БДН-4</t>
  </si>
  <si>
    <t>БДН-12</t>
  </si>
  <si>
    <t>БДН-18</t>
  </si>
  <si>
    <t>БДН-24</t>
  </si>
  <si>
    <t>БДН-40</t>
  </si>
  <si>
    <t>БД-25</t>
  </si>
  <si>
    <t>БД-40</t>
  </si>
  <si>
    <t>235±5 мм.</t>
  </si>
  <si>
    <t>194±5 мм.</t>
  </si>
  <si>
    <t>240±5 мм.</t>
  </si>
  <si>
    <t>275±5 мм.</t>
  </si>
  <si>
    <t>350±5 мм.</t>
  </si>
  <si>
    <t>295±5 мм.</t>
  </si>
  <si>
    <t>485±5 мм.</t>
  </si>
  <si>
    <t>505±5 мм.</t>
  </si>
  <si>
    <t>395±5 мм.</t>
  </si>
  <si>
    <t>450±5 мм.</t>
  </si>
  <si>
    <t>665±5 мм.</t>
  </si>
  <si>
    <t>Бидон (Фляга) нержавеющий БД.</t>
  </si>
  <si>
    <t>Бак нержавеющий с краном и крышкой БП.</t>
  </si>
  <si>
    <t>БП-10</t>
  </si>
  <si>
    <t>БП-15</t>
  </si>
  <si>
    <t>БП-25</t>
  </si>
  <si>
    <t>БП-30</t>
  </si>
  <si>
    <t>БП-40</t>
  </si>
  <si>
    <t>БП-60</t>
  </si>
  <si>
    <t>БП-70</t>
  </si>
  <si>
    <t>БПн-10</t>
  </si>
  <si>
    <t>БПн-15</t>
  </si>
  <si>
    <t>БПн-25</t>
  </si>
  <si>
    <t>БПн-30</t>
  </si>
  <si>
    <t>БПн-40</t>
  </si>
  <si>
    <t>330±5 мм.</t>
  </si>
  <si>
    <t>300±5 мм.</t>
  </si>
  <si>
    <t>445±5 мм.</t>
  </si>
  <si>
    <t>540±5 мм.</t>
  </si>
  <si>
    <t>610±5 мм.</t>
  </si>
  <si>
    <t>700±5 мм.</t>
  </si>
  <si>
    <t>690±5 мм.</t>
  </si>
  <si>
    <t>БП-100</t>
  </si>
  <si>
    <t>БП-120</t>
  </si>
  <si>
    <t>БП-150</t>
  </si>
  <si>
    <t>Бак нержавеющий с краном, крышкой, литой подставкой на резиновых ножках БПн.</t>
  </si>
  <si>
    <t>Ед.измерения</t>
  </si>
  <si>
    <t>Цена со скидкой</t>
  </si>
  <si>
    <t>Скидка от суммы заказа</t>
  </si>
  <si>
    <t>Поднос круглый ⌀ 235 мм.</t>
  </si>
  <si>
    <t>шт</t>
  </si>
  <si>
    <t>Поднос круглый ⌀ 240 мм.</t>
  </si>
  <si>
    <t>Поднос круглый ⌀ 255 мм.</t>
  </si>
  <si>
    <t>Поднос круглый ⌀ 295 мм.</t>
  </si>
  <si>
    <t>Поднос круглый ⌀ 300 мм.</t>
  </si>
  <si>
    <t>Поднос круглый ⌀ 315 мм.</t>
  </si>
  <si>
    <t>Поднос круглый ⌀ 320 мм.</t>
  </si>
  <si>
    <t>Поднос круглый ⌀ 385 мм.</t>
  </si>
  <si>
    <t>Мармит электрический.</t>
  </si>
  <si>
    <t>М-6</t>
  </si>
  <si>
    <t>М-9</t>
  </si>
  <si>
    <t>М-12</t>
  </si>
  <si>
    <t>Сыроварня электрическая.</t>
  </si>
  <si>
    <t>С-12</t>
  </si>
  <si>
    <t>С-18</t>
  </si>
  <si>
    <t>С-24</t>
  </si>
  <si>
    <t>Дистиллятор электрический, "Самогонный аппарат - КАСКАД"</t>
  </si>
  <si>
    <t>ДЭ-1 (24 литра)</t>
  </si>
  <si>
    <t>ДЭ-2 (12 литров)</t>
  </si>
  <si>
    <t>ДЭ-3 (36 литров)</t>
  </si>
  <si>
    <t xml:space="preserve">ДЭ-4 (60 литров) </t>
  </si>
  <si>
    <t>Перегонный куб ДЭ-4 (60 литров)</t>
  </si>
  <si>
    <t>Цилиндроконический пивной танк</t>
  </si>
  <si>
    <t>ЦКТ-40</t>
  </si>
  <si>
    <t>Размеры и вес в упаковке</t>
  </si>
  <si>
    <t>ЦКТ-60</t>
  </si>
  <si>
    <t>ЦКТ-80</t>
  </si>
  <si>
    <t>520±5 мм.</t>
  </si>
  <si>
    <t>400±5 мм.</t>
  </si>
  <si>
    <t>870±5 мм.</t>
  </si>
  <si>
    <t>1070±5 мм.</t>
  </si>
  <si>
    <t>1240±5 мм.</t>
  </si>
  <si>
    <t>ТЭН-76 для КНЭ-50/100,КНЭ-50/100Б</t>
  </si>
  <si>
    <t xml:space="preserve">Тэн-91 на КНА 2 кВт </t>
  </si>
  <si>
    <t xml:space="preserve">Тэн-107 на КНА 3 кВт </t>
  </si>
  <si>
    <t>Датчик сухого хода для КНЭ</t>
  </si>
  <si>
    <t>Датчик сухого хода для КНА выпуск до 2026 года</t>
  </si>
  <si>
    <t>Датчик сухого хода для КНА в сборе выпуск до 2026 года</t>
  </si>
  <si>
    <t>Датчик температуры для КНА в сборе выпуск с 2026 года</t>
  </si>
  <si>
    <t>Датчик уровня для КНА  выпуск с 2026 года</t>
  </si>
  <si>
    <t>Автоматика для КНЭ-50/100, КНЭ-50/100Б</t>
  </si>
  <si>
    <t xml:space="preserve">Автоматика для КНА-4/6/10/15/25/40/60 </t>
  </si>
  <si>
    <t>Поплавковое устройство КНЭ</t>
  </si>
  <si>
    <t>Уплотнительное кольцо на ТГ выпуск до июля 2026 года</t>
  </si>
  <si>
    <t>малое Ø 245 мм. (ТГ-4/6/9/12/18), (БДН-4/6/9/12/18), (БД-25/40)</t>
  </si>
  <si>
    <t>большое Ø 313 мм. (ТГ-24/36), (БП-15/25/30), (БДН-24)</t>
  </si>
  <si>
    <t>Ø 400 мм. (БП-40/60/70), (ЦКТ-40/60/80), (БДН-40)</t>
  </si>
  <si>
    <t>Уплотнительное кольцо на ТГ/ТГн выпуск с июля 2026 года</t>
  </si>
  <si>
    <t>малое Ø 252 мм. (4/6/9/12/18) литров, (БДН-4/6/9/12/18), (БД-25/40)</t>
  </si>
  <si>
    <t>большое Ø 312 мм. (24/25/36) литров</t>
  </si>
  <si>
    <t>Резиновое основание для ТГ/ТГн-4/6/9/12/18</t>
  </si>
  <si>
    <t>Резиновое основание для ТГ/ТГн-24/25/36</t>
  </si>
  <si>
    <t>Автоматика универсальная выносная</t>
  </si>
  <si>
    <t>комплект</t>
  </si>
  <si>
    <t>Кран для холодной воды 1/2"</t>
  </si>
  <si>
    <t>Кран латунный хромированный для горячей воды с диаметром резьбы 16 мм и шаг 1,5 мм</t>
  </si>
  <si>
    <t>Крышки нержавеющие для баков,бидонов, кипятильников, ЦКТ.</t>
  </si>
  <si>
    <t>Цена НДС 22%</t>
  </si>
  <si>
    <t>Крышка малая (Ø внутренний 248 мм, Ø наружный 250 мм) толщина стали 0.5 мм</t>
  </si>
  <si>
    <t>шт.</t>
  </si>
  <si>
    <t>Крышка средняя (Ø внутренний 312 мм, Ø наружный 315 мм) толщина стали 0.5 мм</t>
  </si>
  <si>
    <t>Крышка большая (Ø внутренний 398 мм, Ø наружный 400 мм) толщина стали 0.8 мм</t>
  </si>
  <si>
    <t>Артикул</t>
  </si>
  <si>
    <t xml:space="preserve"> К-20 (0,5)</t>
  </si>
  <si>
    <t>Канистра 20 литров (Толщина 0.5 мм)</t>
  </si>
  <si>
    <t xml:space="preserve"> К-20 (0,8)</t>
  </si>
  <si>
    <t>Канистра 20 литров (Толщина 0.8 мм)</t>
  </si>
  <si>
    <t>Кн-20 (430/0,5)</t>
  </si>
  <si>
    <t>Канистра 20 литров (Толщина 0.5 мм) AISI 430</t>
  </si>
  <si>
    <t>Кн-20 (430/0,8)</t>
  </si>
  <si>
    <t>Канистра 20 литров (Толщина 0.8 мм) AISI 430</t>
  </si>
  <si>
    <t>Кн-20 (304/0,5)</t>
  </si>
  <si>
    <t>Канистра 20 литров (Толщина 0.5 мм) AISI 304</t>
  </si>
  <si>
    <t>Кн-20 (304/0,8)</t>
  </si>
  <si>
    <t>Канистра 20 литров (Толщина 0.8 мм) AISI 304</t>
  </si>
  <si>
    <t>Кн-25 (430/0,8)</t>
  </si>
  <si>
    <t>Канистра 25 литров (Толщина 0.8 мм) AISI 430</t>
  </si>
  <si>
    <t>Кн-25 (304/0,8)</t>
  </si>
  <si>
    <t>Канистра 25 литров (Толщина 0.8 мм) AISI 304</t>
  </si>
  <si>
    <t>Кн-35 (430/0,8)</t>
  </si>
  <si>
    <t>Канистра 35 литров (Толщина 0.8 мм) AISI 430</t>
  </si>
  <si>
    <t>Кн-35 (304/0,8)</t>
  </si>
  <si>
    <t>Канистра 35 литров (Толщина 0.8 мм) AISI 304</t>
  </si>
  <si>
    <t>Ремонт Кипятильников любых производителей</t>
  </si>
  <si>
    <t>Наименование работ</t>
  </si>
  <si>
    <t>ЕД.измерения</t>
  </si>
  <si>
    <t>Цена с НДС/без НДС</t>
  </si>
  <si>
    <t>Очистка/промывка (1 час)</t>
  </si>
  <si>
    <t>н/ч</t>
  </si>
  <si>
    <t>Полная диагностика (2 часа)</t>
  </si>
  <si>
    <t>Замена тэнов (от 1 часа)</t>
  </si>
  <si>
    <t>Замена датчика (от 1 часа)</t>
  </si>
  <si>
    <t>Замена автоматики (от 2 часов)</t>
  </si>
  <si>
    <t>также WhatsApp, Telegram и MAX</t>
  </si>
</sst>
</file>

<file path=xl/styles.xml><?xml version="1.0" encoding="utf-8"?>
<styleSheet xmlns="http://schemas.openxmlformats.org/spreadsheetml/2006/main">
  <numFmts count="11">
    <numFmt numFmtId="164" formatCode="#,##0\ [$₽-419];\-#,##0\ [$₽-419];\-"/>
    <numFmt numFmtId="165" formatCode="#,##0.00\ [$₽-419];\-#,##0.00\ [$₽-419];\-"/>
    <numFmt numFmtId="166" formatCode="0.0"/>
    <numFmt numFmtId="167" formatCode="0.000"/>
    <numFmt numFmtId="168" formatCode="0;\-0;\-"/>
    <numFmt numFmtId="169" formatCode="0.0;\-0.0;\-"/>
    <numFmt numFmtId="170" formatCode="0.000;\-0.000;\-"/>
    <numFmt numFmtId="171" formatCode="_-* #,##0\ [$₽-419]_-;\-* #,##0\ [$₽-419]_-;_-* \-??\ [$₽-419]_-;_-@_-"/>
    <numFmt numFmtId="172" formatCode="_-* #,##0.00&quot;р.&quot;_-;\-* #,##0.00&quot;р.&quot;_-;_-* \-??&quot;р.&quot;_-;_-@_-"/>
    <numFmt numFmtId="173" formatCode="_-* #,##0.00&quot; ₽&quot;_-;\-* #,##0.00&quot; ₽&quot;_-;_-* \-??&quot; ₽&quot;_-;_-@_-"/>
    <numFmt numFmtId="174" formatCode="#,##0&quot; ₽&quot;"/>
  </numFmts>
  <fonts count="34">
    <font>
      <sz val="11"/>
      <color theme="1"/>
      <name val="Calibri"/>
      <family val="2"/>
      <charset val="204"/>
    </font>
    <font>
      <b/>
      <sz val="20"/>
      <name val="Times New Roman"/>
      <charset val="1"/>
    </font>
    <font>
      <sz val="12"/>
      <color rgb="FF404040"/>
      <name val="Times New Roman"/>
      <charset val="1"/>
    </font>
    <font>
      <b/>
      <sz val="12"/>
      <name val="Times New Roman"/>
      <charset val="1"/>
    </font>
    <font>
      <u/>
      <sz val="12"/>
      <color rgb="FF0563C1"/>
      <name val="Times New Roman"/>
      <charset val="1"/>
    </font>
    <font>
      <sz val="10"/>
      <color rgb="FF808080"/>
      <name val="Times New Roman"/>
      <charset val="1"/>
    </font>
    <font>
      <sz val="12"/>
      <name val="Times New Roman"/>
      <charset val="1"/>
    </font>
    <font>
      <b/>
      <u/>
      <sz val="12"/>
      <color rgb="FF0563C1"/>
      <name val="Times New Roman"/>
      <charset val="1"/>
    </font>
    <font>
      <b/>
      <sz val="16"/>
      <name val="Times New Roman"/>
      <charset val="1"/>
    </font>
    <font>
      <sz val="10"/>
      <color rgb="FF404040"/>
      <name val="Times New Roman"/>
      <charset val="1"/>
    </font>
    <font>
      <b/>
      <sz val="11"/>
      <name val="Times New Roman"/>
      <charset val="1"/>
    </font>
    <font>
      <sz val="11"/>
      <name val="Times New Roman"/>
      <charset val="1"/>
    </font>
    <font>
      <b/>
      <sz val="10"/>
      <name val="Times New Roman"/>
      <charset val="1"/>
    </font>
    <font>
      <sz val="11"/>
      <color rgb="FF0000FF"/>
      <name val="Times New Roman"/>
      <charset val="1"/>
    </font>
    <font>
      <b/>
      <sz val="11"/>
      <color rgb="FF1F3864"/>
      <name val="Times New Roman"/>
      <charset val="1"/>
    </font>
    <font>
      <sz val="9"/>
      <color rgb="FF404040"/>
      <name val="Times New Roman"/>
      <charset val="1"/>
    </font>
    <font>
      <sz val="9"/>
      <color rgb="FF808080"/>
      <name val="Times New Roman"/>
      <charset val="1"/>
    </font>
    <font>
      <u/>
      <sz val="11"/>
      <color rgb="FF0563C1"/>
      <name val="Times New Roman"/>
      <charset val="1"/>
    </font>
    <font>
      <sz val="11"/>
      <color rgb="FF808080"/>
      <name val="Times New Roman"/>
      <charset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.5"/>
      <color rgb="FF000000"/>
      <name val="Times New Roman"/>
      <family val="1"/>
      <charset val="204"/>
    </font>
    <font>
      <b/>
      <sz val="11"/>
      <color rgb="FF3F3F3F"/>
      <name val="Times New Roman"/>
      <family val="1"/>
      <charset val="204"/>
    </font>
    <font>
      <b/>
      <sz val="11"/>
      <color rgb="FF3F3F3F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Garamond"/>
      <family val="1"/>
      <charset val="204"/>
    </font>
    <font>
      <b/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1"/>
      <name val="Tешь"/>
      <charset val="204"/>
    </font>
    <font>
      <u/>
      <sz val="12"/>
      <color theme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EBF1DE"/>
      </patternFill>
    </fill>
    <fill>
      <patternFill patternType="solid">
        <fgColor rgb="FFEACA6F"/>
        <bgColor rgb="FFC3D69B"/>
      </patternFill>
    </fill>
    <fill>
      <patternFill patternType="solid">
        <fgColor rgb="FF9BC2E6"/>
        <bgColor rgb="FFCCCCFF"/>
      </patternFill>
    </fill>
    <fill>
      <patternFill patternType="solid">
        <fgColor theme="6" tint="0.39988402966399123"/>
        <bgColor rgb="FFEACA6F"/>
      </patternFill>
    </fill>
    <fill>
      <patternFill patternType="solid">
        <fgColor rgb="FFFFFF00"/>
        <bgColor rgb="FFFFFF00"/>
      </patternFill>
    </fill>
    <fill>
      <patternFill patternType="solid">
        <fgColor theme="6" tint="0.79989013336588644"/>
        <bgColor rgb="FFF2F2F2"/>
      </patternFill>
    </fill>
    <fill>
      <patternFill patternType="solid">
        <fgColor rgb="FFFFFFFF"/>
        <bgColor rgb="FFF2F2F2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medium">
        <color auto="1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auto="1"/>
      </right>
      <top style="thin">
        <color rgb="FF3F3F3F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172" fontId="33" fillId="0" borderId="0"/>
    <xf numFmtId="0" fontId="32" fillId="0" borderId="0">
      <alignment vertical="top"/>
      <protection locked="0"/>
    </xf>
    <xf numFmtId="0" fontId="23" fillId="2" borderId="1"/>
  </cellStyleXfs>
  <cellXfs count="152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1" fontId="11" fillId="0" borderId="3" xfId="0" applyNumberFormat="1" applyFont="1" applyBorder="1" applyAlignment="1">
      <alignment horizontal="right" vertical="center"/>
    </xf>
    <xf numFmtId="0" fontId="12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3" fontId="13" fillId="0" borderId="3" xfId="0" applyNumberFormat="1" applyFont="1" applyBorder="1" applyAlignment="1">
      <alignment horizontal="right" vertical="center"/>
    </xf>
    <xf numFmtId="9" fontId="13" fillId="0" borderId="3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right" vertical="center"/>
    </xf>
    <xf numFmtId="49" fontId="11" fillId="0" borderId="3" xfId="0" applyNumberFormat="1" applyFont="1" applyBorder="1" applyAlignment="1">
      <alignment horizontal="right" vertical="center"/>
    </xf>
    <xf numFmtId="9" fontId="10" fillId="0" borderId="3" xfId="0" applyNumberFormat="1" applyFont="1" applyBorder="1" applyAlignment="1">
      <alignment horizontal="right" vertical="center"/>
    </xf>
    <xf numFmtId="165" fontId="11" fillId="0" borderId="3" xfId="0" applyNumberFormat="1" applyFont="1" applyBorder="1" applyAlignment="1">
      <alignment horizontal="right" vertical="center"/>
    </xf>
    <xf numFmtId="0" fontId="10" fillId="4" borderId="3" xfId="0" applyFont="1" applyFill="1" applyBorder="1" applyAlignment="1">
      <alignment vertical="center"/>
    </xf>
    <xf numFmtId="165" fontId="10" fillId="4" borderId="3" xfId="0" applyNumberFormat="1" applyFont="1" applyFill="1" applyBorder="1" applyAlignment="1">
      <alignment horizontal="right" vertical="center"/>
    </xf>
    <xf numFmtId="166" fontId="11" fillId="0" borderId="3" xfId="0" applyNumberFormat="1" applyFont="1" applyBorder="1" applyAlignment="1">
      <alignment horizontal="right" vertical="center"/>
    </xf>
    <xf numFmtId="167" fontId="11" fillId="0" borderId="3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vertical="center"/>
    </xf>
    <xf numFmtId="0" fontId="16" fillId="0" borderId="3" xfId="0" applyFont="1" applyBorder="1" applyAlignment="1">
      <alignment horizontal="right" vertical="center"/>
    </xf>
    <xf numFmtId="0" fontId="17" fillId="0" borderId="3" xfId="0" applyFont="1" applyBorder="1" applyAlignment="1">
      <alignment vertical="center"/>
    </xf>
    <xf numFmtId="168" fontId="11" fillId="0" borderId="3" xfId="0" applyNumberFormat="1" applyFont="1" applyBorder="1" applyAlignment="1">
      <alignment horizontal="center" vertical="center"/>
    </xf>
    <xf numFmtId="169" fontId="11" fillId="0" borderId="3" xfId="0" applyNumberFormat="1" applyFont="1" applyBorder="1" applyAlignment="1">
      <alignment horizontal="right" vertical="center"/>
    </xf>
    <xf numFmtId="170" fontId="11" fillId="0" borderId="3" xfId="0" applyNumberFormat="1" applyFont="1" applyBorder="1" applyAlignment="1">
      <alignment horizontal="right" vertical="center"/>
    </xf>
    <xf numFmtId="0" fontId="18" fillId="0" borderId="3" xfId="0" applyFont="1" applyBorder="1" applyAlignment="1">
      <alignment horizontal="center" vertical="center"/>
    </xf>
    <xf numFmtId="0" fontId="10" fillId="2" borderId="3" xfId="0" applyFont="1" applyFill="1" applyBorder="1" applyAlignment="1">
      <alignment vertical="center"/>
    </xf>
    <xf numFmtId="1" fontId="10" fillId="2" borderId="3" xfId="0" applyNumberFormat="1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/>
    </xf>
    <xf numFmtId="166" fontId="10" fillId="2" borderId="3" xfId="0" applyNumberFormat="1" applyFont="1" applyFill="1" applyBorder="1" applyAlignment="1">
      <alignment horizontal="right" vertical="center"/>
    </xf>
    <xf numFmtId="167" fontId="10" fillId="2" borderId="3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49" fontId="0" fillId="0" borderId="0" xfId="0" applyNumberFormat="1" applyFont="1"/>
    <xf numFmtId="49" fontId="20" fillId="0" borderId="0" xfId="0" applyNumberFormat="1" applyFont="1"/>
    <xf numFmtId="49" fontId="21" fillId="3" borderId="5" xfId="0" applyNumberFormat="1" applyFont="1" applyFill="1" applyBorder="1" applyAlignment="1">
      <alignment horizontal="center" vertical="center" wrapText="1"/>
    </xf>
    <xf numFmtId="2" fontId="21" fillId="3" borderId="5" xfId="0" applyNumberFormat="1" applyFont="1" applyFill="1" applyBorder="1" applyAlignment="1">
      <alignment horizontal="center" vertical="center" wrapText="1"/>
    </xf>
    <xf numFmtId="49" fontId="19" fillId="5" borderId="5" xfId="0" applyNumberFormat="1" applyFont="1" applyFill="1" applyBorder="1" applyAlignment="1">
      <alignment horizontal="center"/>
    </xf>
    <xf numFmtId="49" fontId="19" fillId="6" borderId="5" xfId="0" applyNumberFormat="1" applyFont="1" applyFill="1" applyBorder="1" applyAlignment="1">
      <alignment horizontal="center"/>
    </xf>
    <xf numFmtId="49" fontId="22" fillId="2" borderId="6" xfId="3" applyNumberFormat="1" applyFont="1" applyBorder="1" applyAlignment="1">
      <alignment horizontal="center"/>
    </xf>
    <xf numFmtId="49" fontId="22" fillId="2" borderId="1" xfId="3" applyNumberFormat="1" applyFont="1" applyBorder="1" applyAlignment="1">
      <alignment horizontal="center"/>
    </xf>
    <xf numFmtId="49" fontId="19" fillId="7" borderId="5" xfId="0" applyNumberFormat="1" applyFont="1" applyFill="1" applyBorder="1" applyAlignment="1">
      <alignment horizontal="center"/>
    </xf>
    <xf numFmtId="49" fontId="24" fillId="8" borderId="5" xfId="0" applyNumberFormat="1" applyFont="1" applyFill="1" applyBorder="1" applyAlignment="1">
      <alignment horizontal="center" vertical="center" wrapText="1"/>
    </xf>
    <xf numFmtId="49" fontId="24" fillId="6" borderId="5" xfId="0" applyNumberFormat="1" applyFont="1" applyFill="1" applyBorder="1" applyAlignment="1" applyProtection="1">
      <alignment horizontal="center" vertical="center" wrapText="1"/>
      <protection locked="0"/>
    </xf>
    <xf numFmtId="3" fontId="25" fillId="6" borderId="5" xfId="0" applyNumberFormat="1" applyFont="1" applyFill="1" applyBorder="1" applyAlignment="1">
      <alignment horizontal="center" vertical="center" wrapText="1"/>
    </xf>
    <xf numFmtId="1" fontId="19" fillId="5" borderId="5" xfId="0" applyNumberFormat="1" applyFont="1" applyFill="1" applyBorder="1" applyAlignment="1">
      <alignment horizontal="center" vertical="center"/>
    </xf>
    <xf numFmtId="171" fontId="19" fillId="6" borderId="5" xfId="0" applyNumberFormat="1" applyFont="1" applyFill="1" applyBorder="1" applyAlignment="1">
      <alignment horizontal="center" vertical="center"/>
    </xf>
    <xf numFmtId="9" fontId="22" fillId="2" borderId="1" xfId="3" applyNumberFormat="1" applyFont="1" applyBorder="1" applyAlignment="1">
      <alignment horizontal="center"/>
    </xf>
    <xf numFmtId="1" fontId="19" fillId="5" borderId="5" xfId="0" applyNumberFormat="1" applyFont="1" applyFill="1" applyBorder="1" applyAlignment="1">
      <alignment horizontal="center"/>
    </xf>
    <xf numFmtId="171" fontId="19" fillId="6" borderId="5" xfId="0" applyNumberFormat="1" applyFont="1" applyFill="1" applyBorder="1" applyAlignment="1">
      <alignment horizontal="center"/>
    </xf>
    <xf numFmtId="9" fontId="19" fillId="7" borderId="5" xfId="0" applyNumberFormat="1" applyFont="1" applyFill="1" applyBorder="1" applyAlignment="1">
      <alignment horizontal="center"/>
    </xf>
    <xf numFmtId="49" fontId="24" fillId="8" borderId="5" xfId="0" applyNumberFormat="1" applyFont="1" applyFill="1" applyBorder="1" applyAlignment="1" applyProtection="1">
      <alignment horizontal="center" vertical="center" wrapText="1"/>
      <protection locked="0"/>
    </xf>
    <xf numFmtId="3" fontId="25" fillId="8" borderId="5" xfId="0" applyNumberFormat="1" applyFont="1" applyFill="1" applyBorder="1" applyAlignment="1">
      <alignment horizontal="center" vertical="center" wrapText="1"/>
    </xf>
    <xf numFmtId="49" fontId="22" fillId="2" borderId="7" xfId="3" applyNumberFormat="1" applyFont="1" applyBorder="1" applyAlignment="1">
      <alignment horizontal="center"/>
    </xf>
    <xf numFmtId="9" fontId="22" fillId="2" borderId="8" xfId="3" applyNumberFormat="1" applyFont="1" applyBorder="1" applyAlignment="1">
      <alignment horizontal="center"/>
    </xf>
    <xf numFmtId="0" fontId="26" fillId="2" borderId="1" xfId="3" applyFont="1" applyBorder="1" applyAlignment="1">
      <alignment horizontal="center"/>
    </xf>
    <xf numFmtId="167" fontId="26" fillId="2" borderId="1" xfId="3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6" fillId="8" borderId="1" xfId="3" applyFont="1" applyFill="1" applyBorder="1" applyAlignment="1">
      <alignment horizontal="center"/>
    </xf>
    <xf numFmtId="167" fontId="26" fillId="8" borderId="1" xfId="3" applyNumberFormat="1" applyFont="1" applyFill="1" applyBorder="1" applyAlignment="1">
      <alignment horizontal="center"/>
    </xf>
    <xf numFmtId="0" fontId="21" fillId="3" borderId="5" xfId="0" applyFont="1" applyFill="1" applyBorder="1" applyAlignment="1">
      <alignment horizontal="center" vertical="center" wrapText="1"/>
    </xf>
    <xf numFmtId="0" fontId="24" fillId="8" borderId="5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/>
    </xf>
    <xf numFmtId="167" fontId="19" fillId="8" borderId="10" xfId="0" applyNumberFormat="1" applyFont="1" applyFill="1" applyBorder="1" applyAlignment="1">
      <alignment horizontal="center"/>
    </xf>
    <xf numFmtId="49" fontId="20" fillId="0" borderId="0" xfId="0" applyNumberFormat="1" applyFont="1" applyAlignment="1">
      <alignment vertical="center"/>
    </xf>
    <xf numFmtId="4" fontId="20" fillId="0" borderId="0" xfId="0" applyNumberFormat="1" applyFont="1" applyAlignment="1">
      <alignment vertical="center"/>
    </xf>
    <xf numFmtId="49" fontId="19" fillId="0" borderId="0" xfId="0" applyNumberFormat="1" applyFont="1" applyAlignment="1">
      <alignment horizontal="center"/>
    </xf>
    <xf numFmtId="1" fontId="19" fillId="0" borderId="0" xfId="0" applyNumberFormat="1" applyFont="1" applyAlignment="1">
      <alignment horizontal="center"/>
    </xf>
    <xf numFmtId="0" fontId="20" fillId="0" borderId="0" xfId="0" applyFont="1"/>
    <xf numFmtId="49" fontId="24" fillId="6" borderId="5" xfId="0" applyNumberFormat="1" applyFont="1" applyFill="1" applyBorder="1" applyAlignment="1">
      <alignment horizontal="center" vertical="center" wrapText="1"/>
    </xf>
    <xf numFmtId="49" fontId="26" fillId="2" borderId="1" xfId="3" applyNumberFormat="1" applyFont="1" applyBorder="1" applyAlignment="1">
      <alignment horizontal="center"/>
    </xf>
    <xf numFmtId="167" fontId="26" fillId="2" borderId="11" xfId="3" applyNumberFormat="1" applyFont="1" applyBorder="1" applyAlignment="1">
      <alignment horizontal="center"/>
    </xf>
    <xf numFmtId="0" fontId="27" fillId="8" borderId="0" xfId="0" applyFont="1" applyFill="1" applyAlignment="1">
      <alignment horizontal="left" wrapText="1" indent="1"/>
    </xf>
    <xf numFmtId="49" fontId="27" fillId="8" borderId="0" xfId="0" applyNumberFormat="1" applyFont="1" applyFill="1" applyAlignment="1">
      <alignment horizontal="left" wrapText="1" indent="1"/>
    </xf>
    <xf numFmtId="4" fontId="27" fillId="8" borderId="0" xfId="0" applyNumberFormat="1" applyFont="1" applyFill="1" applyAlignment="1">
      <alignment horizontal="left" wrapText="1" indent="1"/>
    </xf>
    <xf numFmtId="0" fontId="19" fillId="0" borderId="5" xfId="0" applyFont="1" applyBorder="1"/>
    <xf numFmtId="167" fontId="19" fillId="0" borderId="13" xfId="0" applyNumberFormat="1" applyFont="1" applyBorder="1" applyAlignment="1">
      <alignment horizontal="center"/>
    </xf>
    <xf numFmtId="167" fontId="19" fillId="0" borderId="10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0" fontId="26" fillId="2" borderId="1" xfId="3" applyFont="1" applyBorder="1"/>
    <xf numFmtId="0" fontId="29" fillId="2" borderId="1" xfId="3" applyFont="1" applyBorder="1" applyAlignment="1">
      <alignment horizontal="center"/>
    </xf>
    <xf numFmtId="167" fontId="29" fillId="2" borderId="1" xfId="3" applyNumberFormat="1" applyFont="1" applyBorder="1" applyAlignment="1">
      <alignment horizontal="center"/>
    </xf>
    <xf numFmtId="167" fontId="29" fillId="2" borderId="11" xfId="3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28" fillId="0" borderId="10" xfId="0" applyFont="1" applyBorder="1" applyAlignment="1">
      <alignment horizontal="center"/>
    </xf>
    <xf numFmtId="167" fontId="29" fillId="0" borderId="10" xfId="0" applyNumberFormat="1" applyFont="1" applyBorder="1" applyAlignment="1">
      <alignment horizontal="center"/>
    </xf>
    <xf numFmtId="0" fontId="28" fillId="0" borderId="0" xfId="0" applyFont="1" applyAlignment="1">
      <alignment horizontal="center"/>
    </xf>
    <xf numFmtId="167" fontId="28" fillId="0" borderId="10" xfId="0" applyNumberFormat="1" applyFont="1" applyBorder="1" applyAlignment="1">
      <alignment horizontal="center"/>
    </xf>
    <xf numFmtId="0" fontId="0" fillId="0" borderId="0" xfId="0" applyFont="1" applyAlignment="1">
      <alignment vertical="center"/>
    </xf>
    <xf numFmtId="167" fontId="29" fillId="2" borderId="14" xfId="3" applyNumberFormat="1" applyFont="1" applyBorder="1" applyAlignment="1">
      <alignment horizontal="center"/>
    </xf>
    <xf numFmtId="167" fontId="29" fillId="2" borderId="15" xfId="3" applyNumberFormat="1" applyFont="1" applyBorder="1" applyAlignment="1">
      <alignment horizontal="center"/>
    </xf>
    <xf numFmtId="0" fontId="29" fillId="2" borderId="11" xfId="3" applyFont="1" applyBorder="1" applyAlignment="1">
      <alignment horizontal="center"/>
    </xf>
    <xf numFmtId="0" fontId="24" fillId="8" borderId="16" xfId="0" applyFont="1" applyFill="1" applyBorder="1" applyAlignment="1">
      <alignment horizontal="center" vertical="center" wrapText="1"/>
    </xf>
    <xf numFmtId="49" fontId="24" fillId="8" borderId="16" xfId="0" applyNumberFormat="1" applyFont="1" applyFill="1" applyBorder="1" applyAlignment="1">
      <alignment horizontal="center" vertical="center" wrapText="1"/>
    </xf>
    <xf numFmtId="3" fontId="25" fillId="8" borderId="16" xfId="0" applyNumberFormat="1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wrapText="1"/>
    </xf>
    <xf numFmtId="49" fontId="22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19" fillId="7" borderId="5" xfId="0" applyNumberFormat="1" applyFont="1" applyFill="1" applyBorder="1" applyAlignment="1">
      <alignment horizontal="center" vertical="center"/>
    </xf>
    <xf numFmtId="9" fontId="22" fillId="2" borderId="3" xfId="0" applyNumberFormat="1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 wrapText="1"/>
    </xf>
    <xf numFmtId="0" fontId="28" fillId="0" borderId="10" xfId="0" applyFont="1" applyBorder="1"/>
    <xf numFmtId="0" fontId="17" fillId="0" borderId="0" xfId="0" applyFont="1" applyAlignment="1">
      <alignment horizontal="center" vertical="center" wrapText="1"/>
    </xf>
    <xf numFmtId="0" fontId="24" fillId="8" borderId="0" xfId="0" applyFont="1" applyFill="1" applyAlignment="1">
      <alignment horizontal="center" wrapText="1"/>
    </xf>
    <xf numFmtId="3" fontId="25" fillId="8" borderId="0" xfId="0" applyNumberFormat="1" applyFont="1" applyFill="1" applyAlignment="1">
      <alignment horizontal="center" wrapText="1"/>
    </xf>
    <xf numFmtId="0" fontId="24" fillId="8" borderId="5" xfId="0" applyFont="1" applyFill="1" applyBorder="1" applyAlignment="1">
      <alignment horizontal="center" wrapText="1"/>
    </xf>
    <xf numFmtId="0" fontId="17" fillId="8" borderId="5" xfId="0" applyFont="1" applyFill="1" applyBorder="1" applyAlignment="1">
      <alignment horizontal="center" wrapText="1"/>
    </xf>
    <xf numFmtId="3" fontId="25" fillId="8" borderId="5" xfId="0" applyNumberFormat="1" applyFont="1" applyFill="1" applyBorder="1" applyAlignment="1">
      <alignment horizontal="center" wrapText="1"/>
    </xf>
    <xf numFmtId="0" fontId="31" fillId="0" borderId="5" xfId="2" applyFont="1" applyBorder="1" applyAlignment="1" applyProtection="1">
      <alignment horizontal="center" vertical="center"/>
    </xf>
    <xf numFmtId="0" fontId="24" fillId="8" borderId="18" xfId="0" applyFont="1" applyFill="1" applyBorder="1" applyAlignment="1">
      <alignment horizontal="center" vertical="center" wrapText="1"/>
    </xf>
    <xf numFmtId="0" fontId="0" fillId="0" borderId="18" xfId="0" applyFont="1" applyBorder="1"/>
    <xf numFmtId="0" fontId="19" fillId="0" borderId="18" xfId="0" applyFont="1" applyBorder="1" applyAlignment="1">
      <alignment horizontal="center" vertical="center"/>
    </xf>
    <xf numFmtId="0" fontId="0" fillId="0" borderId="5" xfId="0" applyFont="1" applyBorder="1"/>
    <xf numFmtId="0" fontId="31" fillId="0" borderId="19" xfId="2" applyFont="1" applyBorder="1" applyAlignment="1" applyProtection="1">
      <alignment horizontal="center" vertical="center"/>
    </xf>
    <xf numFmtId="174" fontId="25" fillId="6" borderId="5" xfId="0" applyNumberFormat="1" applyFont="1" applyFill="1" applyBorder="1" applyAlignment="1">
      <alignment horizontal="center" vertical="center" wrapText="1"/>
    </xf>
    <xf numFmtId="3" fontId="0" fillId="0" borderId="0" xfId="0" applyNumberFormat="1" applyFont="1"/>
    <xf numFmtId="3" fontId="19" fillId="0" borderId="18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5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center"/>
    </xf>
    <xf numFmtId="0" fontId="10" fillId="3" borderId="2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49" fontId="19" fillId="0" borderId="4" xfId="0" applyNumberFormat="1" applyFont="1" applyBorder="1" applyAlignment="1">
      <alignment horizontal="center" vertical="center"/>
    </xf>
    <xf numFmtId="49" fontId="24" fillId="8" borderId="5" xfId="0" applyNumberFormat="1" applyFont="1" applyFill="1" applyBorder="1" applyAlignment="1">
      <alignment horizontal="center" vertical="center" wrapText="1"/>
    </xf>
    <xf numFmtId="49" fontId="17" fillId="8" borderId="5" xfId="0" applyNumberFormat="1" applyFont="1" applyFill="1" applyBorder="1" applyAlignment="1">
      <alignment horizontal="center" vertical="center" wrapText="1"/>
    </xf>
    <xf numFmtId="1" fontId="19" fillId="5" borderId="5" xfId="0" applyNumberFormat="1" applyFont="1" applyFill="1" applyBorder="1" applyAlignment="1">
      <alignment horizontal="center" vertical="center"/>
    </xf>
    <xf numFmtId="171" fontId="19" fillId="6" borderId="5" xfId="0" applyNumberFormat="1" applyFont="1" applyFill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/>
    </xf>
    <xf numFmtId="49" fontId="19" fillId="0" borderId="4" xfId="0" applyNumberFormat="1" applyFont="1" applyBorder="1" applyAlignment="1">
      <alignment horizontal="center" vertical="center" wrapText="1"/>
    </xf>
    <xf numFmtId="0" fontId="24" fillId="8" borderId="5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171" fontId="19" fillId="6" borderId="5" xfId="1" applyNumberFormat="1" applyFont="1" applyFill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 wrapText="1"/>
    </xf>
    <xf numFmtId="173" fontId="19" fillId="6" borderId="5" xfId="0" applyNumberFormat="1" applyFont="1" applyFill="1" applyBorder="1" applyAlignment="1">
      <alignment horizontal="center" vertical="center"/>
    </xf>
    <xf numFmtId="0" fontId="28" fillId="0" borderId="9" xfId="0" applyFont="1" applyBorder="1" applyAlignment="1">
      <alignment horizontal="center"/>
    </xf>
    <xf numFmtId="49" fontId="30" fillId="0" borderId="0" xfId="0" applyNumberFormat="1" applyFont="1" applyBorder="1" applyAlignment="1">
      <alignment horizontal="center" vertical="center"/>
    </xf>
    <xf numFmtId="0" fontId="24" fillId="8" borderId="16" xfId="0" applyFont="1" applyFill="1" applyBorder="1" applyAlignment="1">
      <alignment horizontal="center" vertical="center" wrapText="1"/>
    </xf>
    <xf numFmtId="0" fontId="17" fillId="8" borderId="16" xfId="0" applyFont="1" applyFill="1" applyBorder="1" applyAlignment="1">
      <alignment horizontal="center" vertical="center" wrapText="1"/>
    </xf>
    <xf numFmtId="1" fontId="19" fillId="5" borderId="16" xfId="0" applyNumberFormat="1" applyFont="1" applyFill="1" applyBorder="1" applyAlignment="1">
      <alignment horizontal="center" vertical="center"/>
    </xf>
    <xf numFmtId="171" fontId="19" fillId="6" borderId="16" xfId="0" applyNumberFormat="1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/>
    </xf>
  </cellXfs>
  <cellStyles count="4">
    <cellStyle name="Excel Built-in Output" xfId="3"/>
    <cellStyle name="Гиперссылка" xfId="2" builtinId="8"/>
    <cellStyle name="Денежный" xfId="1" builtinId="4"/>
    <cellStyle name="Обычный" xfId="0" builtinId="0"/>
  </cellStyles>
  <dxfs count="31"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  <color rgb="FF1F3864"/>
        <name val="Times New Roman"/>
      </font>
      <fill>
        <patternFill>
          <bgColor rgb="FF9BC2E6"/>
        </patternFill>
      </fill>
    </dxf>
    <dxf>
      <font>
        <b/>
      </font>
    </dxf>
    <dxf>
      <font>
        <b/>
        <color rgb="FF1F3864"/>
        <name val="Times New Roman"/>
      </font>
      <fill>
        <patternFill>
          <bgColor rgb="FF9BC2E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EBF1DE"/>
      <rgbColor rgb="FFF2F2F2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BC2E6"/>
      <rgbColor rgb="FFFF99CC"/>
      <rgbColor rgb="FFCC99FF"/>
      <rgbColor rgb="FFEACA6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404040"/>
      <rgbColor rgb="FF993300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jpeg"/><Relationship Id="rId3" Type="http://schemas.openxmlformats.org/officeDocument/2006/relationships/image" Target="../media/image14.jpeg"/><Relationship Id="rId7" Type="http://schemas.openxmlformats.org/officeDocument/2006/relationships/image" Target="../media/image18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5" Type="http://schemas.openxmlformats.org/officeDocument/2006/relationships/image" Target="../media/image16.jpeg"/><Relationship Id="rId4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eg"/><Relationship Id="rId3" Type="http://schemas.openxmlformats.org/officeDocument/2006/relationships/image" Target="../media/image22.jpeg"/><Relationship Id="rId7" Type="http://schemas.openxmlformats.org/officeDocument/2006/relationships/image" Target="../media/image26.jpeg"/><Relationship Id="rId2" Type="http://schemas.openxmlformats.org/officeDocument/2006/relationships/image" Target="../media/image21.jpeg"/><Relationship Id="rId1" Type="http://schemas.openxmlformats.org/officeDocument/2006/relationships/image" Target="../media/image20.jpeg"/><Relationship Id="rId6" Type="http://schemas.openxmlformats.org/officeDocument/2006/relationships/image" Target="../media/image25.jpeg"/><Relationship Id="rId5" Type="http://schemas.openxmlformats.org/officeDocument/2006/relationships/image" Target="../media/image24.jpeg"/><Relationship Id="rId4" Type="http://schemas.openxmlformats.org/officeDocument/2006/relationships/image" Target="../media/image23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3" Type="http://schemas.openxmlformats.org/officeDocument/2006/relationships/image" Target="../media/image30.jpeg"/><Relationship Id="rId7" Type="http://schemas.openxmlformats.org/officeDocument/2006/relationships/image" Target="../media/image34.jpeg"/><Relationship Id="rId2" Type="http://schemas.openxmlformats.org/officeDocument/2006/relationships/image" Target="../media/image29.jpeg"/><Relationship Id="rId1" Type="http://schemas.openxmlformats.org/officeDocument/2006/relationships/image" Target="../media/image28.jpeg"/><Relationship Id="rId6" Type="http://schemas.openxmlformats.org/officeDocument/2006/relationships/image" Target="../media/image33.jpeg"/><Relationship Id="rId5" Type="http://schemas.openxmlformats.org/officeDocument/2006/relationships/image" Target="../media/image32.jpeg"/><Relationship Id="rId10" Type="http://schemas.openxmlformats.org/officeDocument/2006/relationships/image" Target="../media/image37.jpeg"/><Relationship Id="rId4" Type="http://schemas.openxmlformats.org/officeDocument/2006/relationships/image" Target="../media/image31.jpeg"/><Relationship Id="rId9" Type="http://schemas.openxmlformats.org/officeDocument/2006/relationships/image" Target="../media/image36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jpeg"/><Relationship Id="rId1" Type="http://schemas.openxmlformats.org/officeDocument/2006/relationships/image" Target="../media/image38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7.jpeg"/><Relationship Id="rId3" Type="http://schemas.openxmlformats.org/officeDocument/2006/relationships/image" Target="../media/image42.jpeg"/><Relationship Id="rId7" Type="http://schemas.openxmlformats.org/officeDocument/2006/relationships/image" Target="../media/image46.jpeg"/><Relationship Id="rId2" Type="http://schemas.openxmlformats.org/officeDocument/2006/relationships/image" Target="../media/image41.jpeg"/><Relationship Id="rId1" Type="http://schemas.openxmlformats.org/officeDocument/2006/relationships/image" Target="../media/image40.jpeg"/><Relationship Id="rId6" Type="http://schemas.openxmlformats.org/officeDocument/2006/relationships/image" Target="../media/image45.jpeg"/><Relationship Id="rId5" Type="http://schemas.openxmlformats.org/officeDocument/2006/relationships/image" Target="../media/image44.jpeg"/><Relationship Id="rId4" Type="http://schemas.openxmlformats.org/officeDocument/2006/relationships/image" Target="../media/image43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5.jpeg"/><Relationship Id="rId13" Type="http://schemas.openxmlformats.org/officeDocument/2006/relationships/image" Target="../media/image60.jpeg"/><Relationship Id="rId3" Type="http://schemas.openxmlformats.org/officeDocument/2006/relationships/image" Target="../media/image50.jpeg"/><Relationship Id="rId7" Type="http://schemas.openxmlformats.org/officeDocument/2006/relationships/image" Target="../media/image54.jpeg"/><Relationship Id="rId12" Type="http://schemas.openxmlformats.org/officeDocument/2006/relationships/image" Target="../media/image59.jpeg"/><Relationship Id="rId2" Type="http://schemas.openxmlformats.org/officeDocument/2006/relationships/image" Target="../media/image49.jpeg"/><Relationship Id="rId1" Type="http://schemas.openxmlformats.org/officeDocument/2006/relationships/image" Target="../media/image48.jpeg"/><Relationship Id="rId6" Type="http://schemas.openxmlformats.org/officeDocument/2006/relationships/image" Target="../media/image53.jpeg"/><Relationship Id="rId11" Type="http://schemas.openxmlformats.org/officeDocument/2006/relationships/image" Target="../media/image58.jpeg"/><Relationship Id="rId5" Type="http://schemas.openxmlformats.org/officeDocument/2006/relationships/image" Target="../media/image52.jpeg"/><Relationship Id="rId10" Type="http://schemas.openxmlformats.org/officeDocument/2006/relationships/image" Target="../media/image57.jpeg"/><Relationship Id="rId4" Type="http://schemas.openxmlformats.org/officeDocument/2006/relationships/image" Target="../media/image51.jpeg"/><Relationship Id="rId9" Type="http://schemas.openxmlformats.org/officeDocument/2006/relationships/image" Target="../media/image56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3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10.jpeg"/><Relationship Id="rId1" Type="http://schemas.openxmlformats.org/officeDocument/2006/relationships/image" Target="../media/image64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8.jpeg"/><Relationship Id="rId2" Type="http://schemas.openxmlformats.org/officeDocument/2006/relationships/image" Target="../media/image67.jpeg"/><Relationship Id="rId1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6.jpeg"/><Relationship Id="rId13" Type="http://schemas.openxmlformats.org/officeDocument/2006/relationships/image" Target="../media/image81.jpeg"/><Relationship Id="rId18" Type="http://schemas.openxmlformats.org/officeDocument/2006/relationships/image" Target="../media/image86.jpeg"/><Relationship Id="rId3" Type="http://schemas.openxmlformats.org/officeDocument/2006/relationships/image" Target="../media/image71.jpeg"/><Relationship Id="rId7" Type="http://schemas.openxmlformats.org/officeDocument/2006/relationships/image" Target="../media/image75.jpeg"/><Relationship Id="rId12" Type="http://schemas.openxmlformats.org/officeDocument/2006/relationships/image" Target="../media/image80.png"/><Relationship Id="rId17" Type="http://schemas.openxmlformats.org/officeDocument/2006/relationships/image" Target="../media/image85.jpeg"/><Relationship Id="rId2" Type="http://schemas.openxmlformats.org/officeDocument/2006/relationships/image" Target="../media/image70.jpeg"/><Relationship Id="rId16" Type="http://schemas.openxmlformats.org/officeDocument/2006/relationships/image" Target="../media/image84.jpeg"/><Relationship Id="rId20" Type="http://schemas.openxmlformats.org/officeDocument/2006/relationships/image" Target="../media/image88.jpeg"/><Relationship Id="rId1" Type="http://schemas.openxmlformats.org/officeDocument/2006/relationships/image" Target="../media/image69.jpeg"/><Relationship Id="rId6" Type="http://schemas.openxmlformats.org/officeDocument/2006/relationships/image" Target="../media/image74.jpeg"/><Relationship Id="rId11" Type="http://schemas.openxmlformats.org/officeDocument/2006/relationships/image" Target="../media/image79.jpeg"/><Relationship Id="rId5" Type="http://schemas.openxmlformats.org/officeDocument/2006/relationships/image" Target="../media/image73.jpeg"/><Relationship Id="rId15" Type="http://schemas.openxmlformats.org/officeDocument/2006/relationships/image" Target="../media/image83.jpeg"/><Relationship Id="rId10" Type="http://schemas.openxmlformats.org/officeDocument/2006/relationships/image" Target="../media/image78.jpeg"/><Relationship Id="rId19" Type="http://schemas.openxmlformats.org/officeDocument/2006/relationships/image" Target="../media/image87.jpeg"/><Relationship Id="rId4" Type="http://schemas.openxmlformats.org/officeDocument/2006/relationships/image" Target="../media/image72.jpeg"/><Relationship Id="rId9" Type="http://schemas.openxmlformats.org/officeDocument/2006/relationships/image" Target="../media/image77.jpeg"/><Relationship Id="rId14" Type="http://schemas.openxmlformats.org/officeDocument/2006/relationships/image" Target="../media/image82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png"/><Relationship Id="rId2" Type="http://schemas.openxmlformats.org/officeDocument/2006/relationships/image" Target="../media/image90.png"/><Relationship Id="rId1" Type="http://schemas.openxmlformats.org/officeDocument/2006/relationships/image" Target="../media/image89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104760</xdr:colOff>
      <xdr:row>2</xdr:row>
      <xdr:rowOff>24840</xdr:rowOff>
    </xdr:from>
    <xdr:to>
      <xdr:col>1</xdr:col>
      <xdr:colOff>999720</xdr:colOff>
      <xdr:row>8</xdr:row>
      <xdr:rowOff>104400</xdr:rowOff>
    </xdr:to>
    <xdr:pic>
      <xdr:nvPicPr>
        <xdr:cNvPr id="2" name="Рисунок 3" descr="KNE-50 100(1)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57640" y="462960"/>
          <a:ext cx="894960" cy="1279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114480</xdr:colOff>
      <xdr:row>9</xdr:row>
      <xdr:rowOff>28440</xdr:rowOff>
    </xdr:from>
    <xdr:to>
      <xdr:col>1</xdr:col>
      <xdr:colOff>942840</xdr:colOff>
      <xdr:row>15</xdr:row>
      <xdr:rowOff>70920</xdr:rowOff>
    </xdr:to>
    <xdr:pic>
      <xdr:nvPicPr>
        <xdr:cNvPr id="3" name="Рисунок 4" descr="KNE-50 100B.jpg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567360" y="1866600"/>
          <a:ext cx="828360" cy="1242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38160</xdr:colOff>
      <xdr:row>16</xdr:row>
      <xdr:rowOff>114480</xdr:rowOff>
    </xdr:from>
    <xdr:to>
      <xdr:col>1</xdr:col>
      <xdr:colOff>1085400</xdr:colOff>
      <xdr:row>21</xdr:row>
      <xdr:rowOff>199800</xdr:rowOff>
    </xdr:to>
    <xdr:pic>
      <xdr:nvPicPr>
        <xdr:cNvPr id="4" name="Рисунок 5" descr="KNE-25.jp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491040" y="3353040"/>
          <a:ext cx="1047240" cy="1085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57240</xdr:colOff>
      <xdr:row>26</xdr:row>
      <xdr:rowOff>47520</xdr:rowOff>
    </xdr:from>
    <xdr:to>
      <xdr:col>1</xdr:col>
      <xdr:colOff>1076040</xdr:colOff>
      <xdr:row>30</xdr:row>
      <xdr:rowOff>85680</xdr:rowOff>
    </xdr:to>
    <xdr:pic>
      <xdr:nvPicPr>
        <xdr:cNvPr id="5" name="Рисунок 6" descr="KNA-10.jpg"/>
        <xdr:cNvPicPr/>
      </xdr:nvPicPr>
      <xdr:blipFill>
        <a:blip xmlns:r="http://schemas.openxmlformats.org/officeDocument/2006/relationships" r:embed="rId4" cstate="print"/>
        <a:stretch/>
      </xdr:blipFill>
      <xdr:spPr>
        <a:xfrm>
          <a:off x="510120" y="5495760"/>
          <a:ext cx="1018800" cy="838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47520</xdr:colOff>
      <xdr:row>32</xdr:row>
      <xdr:rowOff>142920</xdr:rowOff>
    </xdr:from>
    <xdr:to>
      <xdr:col>1</xdr:col>
      <xdr:colOff>1094760</xdr:colOff>
      <xdr:row>38</xdr:row>
      <xdr:rowOff>37800</xdr:rowOff>
    </xdr:to>
    <xdr:pic>
      <xdr:nvPicPr>
        <xdr:cNvPr id="6" name="Рисунок 7" descr="KNA-10.jpg"/>
        <xdr:cNvPicPr/>
      </xdr:nvPicPr>
      <xdr:blipFill>
        <a:blip xmlns:r="http://schemas.openxmlformats.org/officeDocument/2006/relationships" r:embed="rId5" cstate="print"/>
        <a:stretch/>
      </xdr:blipFill>
      <xdr:spPr>
        <a:xfrm>
          <a:off x="500400" y="6791400"/>
          <a:ext cx="1047240" cy="1095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38160</xdr:colOff>
      <xdr:row>39</xdr:row>
      <xdr:rowOff>47520</xdr:rowOff>
    </xdr:from>
    <xdr:to>
      <xdr:col>1</xdr:col>
      <xdr:colOff>1076040</xdr:colOff>
      <xdr:row>45</xdr:row>
      <xdr:rowOff>171000</xdr:rowOff>
    </xdr:to>
    <xdr:pic>
      <xdr:nvPicPr>
        <xdr:cNvPr id="7" name="Рисунок 8" descr="KNA-10.jpg"/>
        <xdr:cNvPicPr/>
      </xdr:nvPicPr>
      <xdr:blipFill>
        <a:blip xmlns:r="http://schemas.openxmlformats.org/officeDocument/2006/relationships" r:embed="rId6" cstate="print"/>
        <a:stretch/>
      </xdr:blipFill>
      <xdr:spPr>
        <a:xfrm>
          <a:off x="491040" y="8096040"/>
          <a:ext cx="1037880" cy="1323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27000</xdr:colOff>
      <xdr:row>46</xdr:row>
      <xdr:rowOff>95400</xdr:rowOff>
    </xdr:from>
    <xdr:to>
      <xdr:col>1</xdr:col>
      <xdr:colOff>1114200</xdr:colOff>
      <xdr:row>52</xdr:row>
      <xdr:rowOff>85680</xdr:rowOff>
    </xdr:to>
    <xdr:pic>
      <xdr:nvPicPr>
        <xdr:cNvPr id="8" name="Рисунок 9" descr="KNA-25.jpg"/>
        <xdr:cNvPicPr/>
      </xdr:nvPicPr>
      <xdr:blipFill>
        <a:blip xmlns:r="http://schemas.openxmlformats.org/officeDocument/2006/relationships" r:embed="rId7" cstate="print"/>
        <a:stretch/>
      </xdr:blipFill>
      <xdr:spPr>
        <a:xfrm>
          <a:off x="479880" y="9544320"/>
          <a:ext cx="1087200" cy="119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114480</xdr:colOff>
      <xdr:row>53</xdr:row>
      <xdr:rowOff>46800</xdr:rowOff>
    </xdr:from>
    <xdr:to>
      <xdr:col>1</xdr:col>
      <xdr:colOff>1000080</xdr:colOff>
      <xdr:row>59</xdr:row>
      <xdr:rowOff>152280</xdr:rowOff>
    </xdr:to>
    <xdr:pic>
      <xdr:nvPicPr>
        <xdr:cNvPr id="9" name="Рисунок 10" descr="KNA-25.jpg"/>
        <xdr:cNvPicPr/>
      </xdr:nvPicPr>
      <xdr:blipFill>
        <a:blip xmlns:r="http://schemas.openxmlformats.org/officeDocument/2006/relationships" r:embed="rId8" cstate="print"/>
        <a:stretch/>
      </xdr:blipFill>
      <xdr:spPr>
        <a:xfrm>
          <a:off x="567360" y="10895760"/>
          <a:ext cx="885600" cy="1305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47520</xdr:colOff>
      <xdr:row>60</xdr:row>
      <xdr:rowOff>19080</xdr:rowOff>
    </xdr:from>
    <xdr:to>
      <xdr:col>1</xdr:col>
      <xdr:colOff>1056960</xdr:colOff>
      <xdr:row>66</xdr:row>
      <xdr:rowOff>164520</xdr:rowOff>
    </xdr:to>
    <xdr:pic>
      <xdr:nvPicPr>
        <xdr:cNvPr id="10" name="Рисунок 14" descr="КНА-40.jpg"/>
        <xdr:cNvPicPr/>
      </xdr:nvPicPr>
      <xdr:blipFill>
        <a:blip xmlns:r="http://schemas.openxmlformats.org/officeDocument/2006/relationships" r:embed="rId9" cstate="print"/>
        <a:stretch/>
      </xdr:blipFill>
      <xdr:spPr>
        <a:xfrm>
          <a:off x="500400" y="1226808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47520</xdr:colOff>
      <xdr:row>67</xdr:row>
      <xdr:rowOff>38160</xdr:rowOff>
    </xdr:from>
    <xdr:to>
      <xdr:col>1</xdr:col>
      <xdr:colOff>1056960</xdr:colOff>
      <xdr:row>73</xdr:row>
      <xdr:rowOff>183600</xdr:rowOff>
    </xdr:to>
    <xdr:pic>
      <xdr:nvPicPr>
        <xdr:cNvPr id="11" name="Рисунок 15" descr="КНА-60.jpg"/>
        <xdr:cNvPicPr/>
      </xdr:nvPicPr>
      <xdr:blipFill>
        <a:blip xmlns:r="http://schemas.openxmlformats.org/officeDocument/2006/relationships" r:embed="rId10" cstate="print"/>
        <a:stretch/>
      </xdr:blipFill>
      <xdr:spPr>
        <a:xfrm>
          <a:off x="500400" y="1368756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190440</xdr:colOff>
      <xdr:row>79</xdr:row>
      <xdr:rowOff>9360</xdr:rowOff>
    </xdr:from>
    <xdr:to>
      <xdr:col>1</xdr:col>
      <xdr:colOff>933120</xdr:colOff>
      <xdr:row>79</xdr:row>
      <xdr:rowOff>999720</xdr:rowOff>
    </xdr:to>
    <xdr:pic>
      <xdr:nvPicPr>
        <xdr:cNvPr id="12" name="Рисунок 12" descr="Подставка.jpeg"/>
        <xdr:cNvPicPr/>
      </xdr:nvPicPr>
      <xdr:blipFill>
        <a:blip xmlns:r="http://schemas.openxmlformats.org/officeDocument/2006/relationships" r:embed="rId11" cstate="print"/>
        <a:stretch/>
      </xdr:blipFill>
      <xdr:spPr>
        <a:xfrm>
          <a:off x="643320" y="16535160"/>
          <a:ext cx="742680" cy="990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76320</xdr:colOff>
      <xdr:row>23</xdr:row>
      <xdr:rowOff>28440</xdr:rowOff>
    </xdr:from>
    <xdr:to>
      <xdr:col>1</xdr:col>
      <xdr:colOff>1076040</xdr:colOff>
      <xdr:row>29</xdr:row>
      <xdr:rowOff>161280</xdr:rowOff>
    </xdr:to>
    <xdr:pic>
      <xdr:nvPicPr>
        <xdr:cNvPr id="12" name="Рисунок 9" descr="ТГ 12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89240" y="4705200"/>
          <a:ext cx="999720" cy="1333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66600</xdr:colOff>
      <xdr:row>30</xdr:row>
      <xdr:rowOff>28440</xdr:rowOff>
    </xdr:from>
    <xdr:to>
      <xdr:col>1</xdr:col>
      <xdr:colOff>1051920</xdr:colOff>
      <xdr:row>36</xdr:row>
      <xdr:rowOff>142200</xdr:rowOff>
    </xdr:to>
    <xdr:pic>
      <xdr:nvPicPr>
        <xdr:cNvPr id="13" name="Рисунок 10" descr="ТГ 12 с ручками.jpg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479520" y="6105240"/>
          <a:ext cx="985320" cy="131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85680</xdr:colOff>
      <xdr:row>37</xdr:row>
      <xdr:rowOff>47520</xdr:rowOff>
    </xdr:from>
    <xdr:to>
      <xdr:col>1</xdr:col>
      <xdr:colOff>1078200</xdr:colOff>
      <xdr:row>43</xdr:row>
      <xdr:rowOff>171000</xdr:rowOff>
    </xdr:to>
    <xdr:pic>
      <xdr:nvPicPr>
        <xdr:cNvPr id="14" name="Рисунок 11" descr="ТГ18.jp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498600" y="7524720"/>
          <a:ext cx="992520" cy="1323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44</xdr:row>
      <xdr:rowOff>9360</xdr:rowOff>
    </xdr:from>
    <xdr:to>
      <xdr:col>1</xdr:col>
      <xdr:colOff>1076040</xdr:colOff>
      <xdr:row>50</xdr:row>
      <xdr:rowOff>142200</xdr:rowOff>
    </xdr:to>
    <xdr:pic>
      <xdr:nvPicPr>
        <xdr:cNvPr id="15" name="Рисунок 12" descr="ТГ 24.jpg"/>
        <xdr:cNvPicPr/>
      </xdr:nvPicPr>
      <xdr:blipFill>
        <a:blip xmlns:r="http://schemas.openxmlformats.org/officeDocument/2006/relationships" r:embed="rId4" cstate="print"/>
        <a:stretch/>
      </xdr:blipFill>
      <xdr:spPr>
        <a:xfrm>
          <a:off x="489240" y="8886600"/>
          <a:ext cx="999720" cy="1333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38160</xdr:colOff>
      <xdr:row>51</xdr:row>
      <xdr:rowOff>19080</xdr:rowOff>
    </xdr:from>
    <xdr:to>
      <xdr:col>1</xdr:col>
      <xdr:colOff>1056960</xdr:colOff>
      <xdr:row>57</xdr:row>
      <xdr:rowOff>177840</xdr:rowOff>
    </xdr:to>
    <xdr:pic>
      <xdr:nvPicPr>
        <xdr:cNvPr id="16" name="Рисунок 13" descr="ТГ36.jpg"/>
        <xdr:cNvPicPr/>
      </xdr:nvPicPr>
      <xdr:blipFill>
        <a:blip xmlns:r="http://schemas.openxmlformats.org/officeDocument/2006/relationships" r:embed="rId5" cstate="print"/>
        <a:stretch/>
      </xdr:blipFill>
      <xdr:spPr>
        <a:xfrm>
          <a:off x="451080" y="10296720"/>
          <a:ext cx="1018800" cy="135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66600</xdr:colOff>
      <xdr:row>16</xdr:row>
      <xdr:rowOff>28440</xdr:rowOff>
    </xdr:from>
    <xdr:to>
      <xdr:col>1</xdr:col>
      <xdr:colOff>1056960</xdr:colOff>
      <xdr:row>22</xdr:row>
      <xdr:rowOff>149040</xdr:rowOff>
    </xdr:to>
    <xdr:pic>
      <xdr:nvPicPr>
        <xdr:cNvPr id="17" name="Рисунок 14" descr="ТГ 9.jpg"/>
        <xdr:cNvPicPr/>
      </xdr:nvPicPr>
      <xdr:blipFill>
        <a:blip xmlns:r="http://schemas.openxmlformats.org/officeDocument/2006/relationships" r:embed="rId6" cstate="print"/>
        <a:stretch/>
      </xdr:blipFill>
      <xdr:spPr>
        <a:xfrm>
          <a:off x="479520" y="3305160"/>
          <a:ext cx="990360" cy="1320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9</xdr:row>
      <xdr:rowOff>47520</xdr:rowOff>
    </xdr:from>
    <xdr:to>
      <xdr:col>1</xdr:col>
      <xdr:colOff>1056960</xdr:colOff>
      <xdr:row>15</xdr:row>
      <xdr:rowOff>155160</xdr:rowOff>
    </xdr:to>
    <xdr:pic>
      <xdr:nvPicPr>
        <xdr:cNvPr id="18" name="Рисунок 15" descr="ТГ 6.jpg"/>
        <xdr:cNvPicPr/>
      </xdr:nvPicPr>
      <xdr:blipFill>
        <a:blip xmlns:r="http://schemas.openxmlformats.org/officeDocument/2006/relationships" r:embed="rId7" cstate="print"/>
        <a:stretch/>
      </xdr:blipFill>
      <xdr:spPr>
        <a:xfrm>
          <a:off x="489240" y="1923840"/>
          <a:ext cx="980640" cy="130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2</xdr:row>
      <xdr:rowOff>47520</xdr:rowOff>
    </xdr:from>
    <xdr:to>
      <xdr:col>1</xdr:col>
      <xdr:colOff>1076040</xdr:colOff>
      <xdr:row>8</xdr:row>
      <xdr:rowOff>180360</xdr:rowOff>
    </xdr:to>
    <xdr:pic>
      <xdr:nvPicPr>
        <xdr:cNvPr id="19" name="Рисунок 16" descr="ТГ4.jpg"/>
        <xdr:cNvPicPr/>
      </xdr:nvPicPr>
      <xdr:blipFill>
        <a:blip xmlns:r="http://schemas.openxmlformats.org/officeDocument/2006/relationships" r:embed="rId8" cstate="print"/>
        <a:stretch/>
      </xdr:blipFill>
      <xdr:spPr>
        <a:xfrm>
          <a:off x="489240" y="523800"/>
          <a:ext cx="999720" cy="1333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28440</xdr:colOff>
      <xdr:row>2</xdr:row>
      <xdr:rowOff>19080</xdr:rowOff>
    </xdr:from>
    <xdr:to>
      <xdr:col>1</xdr:col>
      <xdr:colOff>1049760</xdr:colOff>
      <xdr:row>8</xdr:row>
      <xdr:rowOff>171360</xdr:rowOff>
    </xdr:to>
    <xdr:pic>
      <xdr:nvPicPr>
        <xdr:cNvPr id="20" name="Рисунок 9" descr="ТГн-4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41360" y="466920"/>
          <a:ext cx="1021320" cy="136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47520</xdr:colOff>
      <xdr:row>9</xdr:row>
      <xdr:rowOff>47520</xdr:rowOff>
    </xdr:from>
    <xdr:to>
      <xdr:col>1</xdr:col>
      <xdr:colOff>1056960</xdr:colOff>
      <xdr:row>15</xdr:row>
      <xdr:rowOff>164160</xdr:rowOff>
    </xdr:to>
    <xdr:pic>
      <xdr:nvPicPr>
        <xdr:cNvPr id="21" name="Рисунок 10" descr="ТГн-6.jpg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460440" y="190476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57240</xdr:colOff>
      <xdr:row>16</xdr:row>
      <xdr:rowOff>19080</xdr:rowOff>
    </xdr:from>
    <xdr:to>
      <xdr:col>1</xdr:col>
      <xdr:colOff>1047600</xdr:colOff>
      <xdr:row>22</xdr:row>
      <xdr:rowOff>120240</xdr:rowOff>
    </xdr:to>
    <xdr:pic>
      <xdr:nvPicPr>
        <xdr:cNvPr id="22" name="Рисунок 11" descr="ТГн-9.jp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470160" y="3305160"/>
          <a:ext cx="990360" cy="1320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28440</xdr:colOff>
      <xdr:row>23</xdr:row>
      <xdr:rowOff>19080</xdr:rowOff>
    </xdr:from>
    <xdr:to>
      <xdr:col>1</xdr:col>
      <xdr:colOff>1042560</xdr:colOff>
      <xdr:row>29</xdr:row>
      <xdr:rowOff>171000</xdr:rowOff>
    </xdr:to>
    <xdr:pic>
      <xdr:nvPicPr>
        <xdr:cNvPr id="23" name="Рисунок 12" descr="ТГн-12.jpg"/>
        <xdr:cNvPicPr/>
      </xdr:nvPicPr>
      <xdr:blipFill>
        <a:blip xmlns:r="http://schemas.openxmlformats.org/officeDocument/2006/relationships" r:embed="rId4" cstate="print"/>
        <a:stretch/>
      </xdr:blipFill>
      <xdr:spPr>
        <a:xfrm>
          <a:off x="441360" y="4724280"/>
          <a:ext cx="1014120" cy="135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66600</xdr:colOff>
      <xdr:row>30</xdr:row>
      <xdr:rowOff>28440</xdr:rowOff>
    </xdr:from>
    <xdr:to>
      <xdr:col>1</xdr:col>
      <xdr:colOff>1076040</xdr:colOff>
      <xdr:row>36</xdr:row>
      <xdr:rowOff>155160</xdr:rowOff>
    </xdr:to>
    <xdr:pic>
      <xdr:nvPicPr>
        <xdr:cNvPr id="24" name="Рисунок 13" descr="ТГн-12 с ручками.jpg"/>
        <xdr:cNvPicPr/>
      </xdr:nvPicPr>
      <xdr:blipFill>
        <a:blip xmlns:r="http://schemas.openxmlformats.org/officeDocument/2006/relationships" r:embed="rId5" cstate="print"/>
        <a:stretch/>
      </xdr:blipFill>
      <xdr:spPr>
        <a:xfrm>
          <a:off x="479520" y="613404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37</xdr:row>
      <xdr:rowOff>28440</xdr:rowOff>
    </xdr:from>
    <xdr:to>
      <xdr:col>1</xdr:col>
      <xdr:colOff>1085760</xdr:colOff>
      <xdr:row>43</xdr:row>
      <xdr:rowOff>145440</xdr:rowOff>
    </xdr:to>
    <xdr:pic>
      <xdr:nvPicPr>
        <xdr:cNvPr id="25" name="Рисунок 14" descr="ТГн-18.jpg"/>
        <xdr:cNvPicPr/>
      </xdr:nvPicPr>
      <xdr:blipFill>
        <a:blip xmlns:r="http://schemas.openxmlformats.org/officeDocument/2006/relationships" r:embed="rId6" cstate="print"/>
        <a:stretch/>
      </xdr:blipFill>
      <xdr:spPr>
        <a:xfrm>
          <a:off x="489240" y="755316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85680</xdr:colOff>
      <xdr:row>44</xdr:row>
      <xdr:rowOff>95400</xdr:rowOff>
    </xdr:from>
    <xdr:to>
      <xdr:col>1</xdr:col>
      <xdr:colOff>1076040</xdr:colOff>
      <xdr:row>50</xdr:row>
      <xdr:rowOff>215640</xdr:rowOff>
    </xdr:to>
    <xdr:pic>
      <xdr:nvPicPr>
        <xdr:cNvPr id="26" name="Рисунок 15" descr="ТГн-24.jpg"/>
        <xdr:cNvPicPr/>
      </xdr:nvPicPr>
      <xdr:blipFill>
        <a:blip xmlns:r="http://schemas.openxmlformats.org/officeDocument/2006/relationships" r:embed="rId7" cstate="print"/>
        <a:stretch/>
      </xdr:blipFill>
      <xdr:spPr>
        <a:xfrm>
          <a:off x="498600" y="9048960"/>
          <a:ext cx="990360" cy="1320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51</xdr:row>
      <xdr:rowOff>19080</xdr:rowOff>
    </xdr:from>
    <xdr:to>
      <xdr:col>1</xdr:col>
      <xdr:colOff>1076040</xdr:colOff>
      <xdr:row>57</xdr:row>
      <xdr:rowOff>151920</xdr:rowOff>
    </xdr:to>
    <xdr:pic>
      <xdr:nvPicPr>
        <xdr:cNvPr id="27" name="Рисунок 16" descr="ТГн-36.jpg"/>
        <xdr:cNvPicPr/>
      </xdr:nvPicPr>
      <xdr:blipFill>
        <a:blip xmlns:r="http://schemas.openxmlformats.org/officeDocument/2006/relationships" r:embed="rId8" cstate="print"/>
        <a:stretch/>
      </xdr:blipFill>
      <xdr:spPr>
        <a:xfrm>
          <a:off x="489240" y="10410840"/>
          <a:ext cx="999720" cy="1333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66600</xdr:colOff>
      <xdr:row>40</xdr:row>
      <xdr:rowOff>47520</xdr:rowOff>
    </xdr:from>
    <xdr:to>
      <xdr:col>1</xdr:col>
      <xdr:colOff>1073520</xdr:colOff>
      <xdr:row>46</xdr:row>
      <xdr:rowOff>190080</xdr:rowOff>
    </xdr:to>
    <xdr:pic>
      <xdr:nvPicPr>
        <xdr:cNvPr id="28" name="Рисунок 16" descr="ТГн-12 с краном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79520" y="8315280"/>
          <a:ext cx="1006920" cy="134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57240</xdr:colOff>
      <xdr:row>61</xdr:row>
      <xdr:rowOff>28440</xdr:rowOff>
    </xdr:from>
    <xdr:to>
      <xdr:col>1</xdr:col>
      <xdr:colOff>1047600</xdr:colOff>
      <xdr:row>67</xdr:row>
      <xdr:rowOff>148680</xdr:rowOff>
    </xdr:to>
    <xdr:pic>
      <xdr:nvPicPr>
        <xdr:cNvPr id="29" name="Рисунок 17" descr="ТГн-24 с краном.jpg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470160" y="12496680"/>
          <a:ext cx="990360" cy="1320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57240</xdr:colOff>
      <xdr:row>2</xdr:row>
      <xdr:rowOff>28440</xdr:rowOff>
    </xdr:from>
    <xdr:to>
      <xdr:col>1</xdr:col>
      <xdr:colOff>1104480</xdr:colOff>
      <xdr:row>8</xdr:row>
      <xdr:rowOff>168120</xdr:rowOff>
    </xdr:to>
    <xdr:pic>
      <xdr:nvPicPr>
        <xdr:cNvPr id="30" name="Рисунок 18" descr="ТГ 12 с краном.jp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470160" y="647640"/>
          <a:ext cx="1047240" cy="1396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95400</xdr:colOff>
      <xdr:row>9</xdr:row>
      <xdr:rowOff>9360</xdr:rowOff>
    </xdr:from>
    <xdr:to>
      <xdr:col>1</xdr:col>
      <xdr:colOff>1104840</xdr:colOff>
      <xdr:row>15</xdr:row>
      <xdr:rowOff>154800</xdr:rowOff>
    </xdr:to>
    <xdr:pic>
      <xdr:nvPicPr>
        <xdr:cNvPr id="31" name="Рисунок 19" descr="ТГ12 с ручками и краном.jpg"/>
        <xdr:cNvPicPr/>
      </xdr:nvPicPr>
      <xdr:blipFill>
        <a:blip xmlns:r="http://schemas.openxmlformats.org/officeDocument/2006/relationships" r:embed="rId4" cstate="print"/>
        <a:stretch/>
      </xdr:blipFill>
      <xdr:spPr>
        <a:xfrm>
          <a:off x="508320" y="208584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95400</xdr:colOff>
      <xdr:row>16</xdr:row>
      <xdr:rowOff>19080</xdr:rowOff>
    </xdr:from>
    <xdr:to>
      <xdr:col>1</xdr:col>
      <xdr:colOff>1095120</xdr:colOff>
      <xdr:row>22</xdr:row>
      <xdr:rowOff>151920</xdr:rowOff>
    </xdr:to>
    <xdr:pic>
      <xdr:nvPicPr>
        <xdr:cNvPr id="32" name="Рисунок 20" descr="ТГ 18 с краном.jpg"/>
        <xdr:cNvPicPr/>
      </xdr:nvPicPr>
      <xdr:blipFill>
        <a:blip xmlns:r="http://schemas.openxmlformats.org/officeDocument/2006/relationships" r:embed="rId5" cstate="print"/>
        <a:stretch/>
      </xdr:blipFill>
      <xdr:spPr>
        <a:xfrm>
          <a:off x="508320" y="3495600"/>
          <a:ext cx="999720" cy="1333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66600</xdr:colOff>
      <xdr:row>23</xdr:row>
      <xdr:rowOff>9360</xdr:rowOff>
    </xdr:from>
    <xdr:to>
      <xdr:col>1</xdr:col>
      <xdr:colOff>1085400</xdr:colOff>
      <xdr:row>29</xdr:row>
      <xdr:rowOff>168120</xdr:rowOff>
    </xdr:to>
    <xdr:pic>
      <xdr:nvPicPr>
        <xdr:cNvPr id="33" name="Рисунок 21" descr="ТГ24 с краном.jpg"/>
        <xdr:cNvPicPr/>
      </xdr:nvPicPr>
      <xdr:blipFill>
        <a:blip xmlns:r="http://schemas.openxmlformats.org/officeDocument/2006/relationships" r:embed="rId6" cstate="print"/>
        <a:stretch/>
      </xdr:blipFill>
      <xdr:spPr>
        <a:xfrm>
          <a:off x="479520" y="4886280"/>
          <a:ext cx="1018800" cy="135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95400</xdr:colOff>
      <xdr:row>30</xdr:row>
      <xdr:rowOff>47520</xdr:rowOff>
    </xdr:from>
    <xdr:to>
      <xdr:col>1</xdr:col>
      <xdr:colOff>1073880</xdr:colOff>
      <xdr:row>36</xdr:row>
      <xdr:rowOff>151920</xdr:rowOff>
    </xdr:to>
    <xdr:pic>
      <xdr:nvPicPr>
        <xdr:cNvPr id="34" name="Рисунок 22" descr="ТГ36 с краном.jpg"/>
        <xdr:cNvPicPr/>
      </xdr:nvPicPr>
      <xdr:blipFill>
        <a:blip xmlns:r="http://schemas.openxmlformats.org/officeDocument/2006/relationships" r:embed="rId7" cstate="print"/>
        <a:stretch/>
      </xdr:blipFill>
      <xdr:spPr>
        <a:xfrm>
          <a:off x="508320" y="6324480"/>
          <a:ext cx="978480" cy="1304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47520</xdr:colOff>
      <xdr:row>68</xdr:row>
      <xdr:rowOff>25560</xdr:rowOff>
    </xdr:from>
    <xdr:to>
      <xdr:col>1</xdr:col>
      <xdr:colOff>1047240</xdr:colOff>
      <xdr:row>74</xdr:row>
      <xdr:rowOff>158400</xdr:rowOff>
    </xdr:to>
    <xdr:pic>
      <xdr:nvPicPr>
        <xdr:cNvPr id="35" name="Рисунок 24" descr="ТГн-36 с краном.jpg"/>
        <xdr:cNvPicPr/>
      </xdr:nvPicPr>
      <xdr:blipFill>
        <a:blip xmlns:r="http://schemas.openxmlformats.org/officeDocument/2006/relationships" r:embed="rId8" cstate="print"/>
        <a:stretch/>
      </xdr:blipFill>
      <xdr:spPr>
        <a:xfrm>
          <a:off x="460440" y="13893840"/>
          <a:ext cx="999720" cy="1333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95400</xdr:colOff>
      <xdr:row>47</xdr:row>
      <xdr:rowOff>38160</xdr:rowOff>
    </xdr:from>
    <xdr:to>
      <xdr:col>1</xdr:col>
      <xdr:colOff>1095120</xdr:colOff>
      <xdr:row>53</xdr:row>
      <xdr:rowOff>171000</xdr:rowOff>
    </xdr:to>
    <xdr:pic>
      <xdr:nvPicPr>
        <xdr:cNvPr id="36" name="Рисунок 11" descr="ТГн-12 с ручками и краном.jpg"/>
        <xdr:cNvPicPr/>
      </xdr:nvPicPr>
      <xdr:blipFill>
        <a:blip xmlns:r="http://schemas.openxmlformats.org/officeDocument/2006/relationships" r:embed="rId9" cstate="print"/>
        <a:stretch/>
      </xdr:blipFill>
      <xdr:spPr>
        <a:xfrm>
          <a:off x="508320" y="9705960"/>
          <a:ext cx="999720" cy="1333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54</xdr:row>
      <xdr:rowOff>19080</xdr:rowOff>
    </xdr:from>
    <xdr:to>
      <xdr:col>1</xdr:col>
      <xdr:colOff>1097640</xdr:colOff>
      <xdr:row>60</xdr:row>
      <xdr:rowOff>181080</xdr:rowOff>
    </xdr:to>
    <xdr:pic>
      <xdr:nvPicPr>
        <xdr:cNvPr id="37" name="Рисунок 12" descr="ТГн-18 с краном.jpg"/>
        <xdr:cNvPicPr/>
      </xdr:nvPicPr>
      <xdr:blipFill>
        <a:blip xmlns:r="http://schemas.openxmlformats.org/officeDocument/2006/relationships" r:embed="rId10" cstate="print"/>
        <a:stretch/>
      </xdr:blipFill>
      <xdr:spPr>
        <a:xfrm>
          <a:off x="489240" y="11087280"/>
          <a:ext cx="1021320" cy="1361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57240</xdr:colOff>
      <xdr:row>2</xdr:row>
      <xdr:rowOff>76320</xdr:rowOff>
    </xdr:from>
    <xdr:to>
      <xdr:col>1</xdr:col>
      <xdr:colOff>1018800</xdr:colOff>
      <xdr:row>8</xdr:row>
      <xdr:rowOff>158400</xdr:rowOff>
    </xdr:to>
    <xdr:pic>
      <xdr:nvPicPr>
        <xdr:cNvPr id="38" name="Рисунок 3" descr="ТГ36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70160" y="771480"/>
          <a:ext cx="961560" cy="128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66600</xdr:colOff>
      <xdr:row>12</xdr:row>
      <xdr:rowOff>57240</xdr:rowOff>
    </xdr:from>
    <xdr:to>
      <xdr:col>1</xdr:col>
      <xdr:colOff>1045080</xdr:colOff>
      <xdr:row>18</xdr:row>
      <xdr:rowOff>161640</xdr:rowOff>
    </xdr:to>
    <xdr:pic>
      <xdr:nvPicPr>
        <xdr:cNvPr id="39" name="Рисунок 4" descr="ТГн-36.jpg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479520" y="2743200"/>
          <a:ext cx="978480" cy="1304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9360</xdr:colOff>
      <xdr:row>47</xdr:row>
      <xdr:rowOff>85680</xdr:rowOff>
    </xdr:from>
    <xdr:to>
      <xdr:col>1</xdr:col>
      <xdr:colOff>1142640</xdr:colOff>
      <xdr:row>53</xdr:row>
      <xdr:rowOff>18720</xdr:rowOff>
    </xdr:to>
    <xdr:pic>
      <xdr:nvPicPr>
        <xdr:cNvPr id="40" name="Рисунок 8" descr="BD-25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22280" y="10058400"/>
          <a:ext cx="1133280" cy="113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19080</xdr:colOff>
      <xdr:row>54</xdr:row>
      <xdr:rowOff>95400</xdr:rowOff>
    </xdr:from>
    <xdr:to>
      <xdr:col>1</xdr:col>
      <xdr:colOff>1152360</xdr:colOff>
      <xdr:row>60</xdr:row>
      <xdr:rowOff>28440</xdr:rowOff>
    </xdr:to>
    <xdr:pic>
      <xdr:nvPicPr>
        <xdr:cNvPr id="41" name="Рисунок 9" descr="BD-40.jpg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432000" y="11468160"/>
          <a:ext cx="1133280" cy="113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66600</xdr:colOff>
      <xdr:row>30</xdr:row>
      <xdr:rowOff>47520</xdr:rowOff>
    </xdr:from>
    <xdr:to>
      <xdr:col>1</xdr:col>
      <xdr:colOff>1076040</xdr:colOff>
      <xdr:row>36</xdr:row>
      <xdr:rowOff>192960</xdr:rowOff>
    </xdr:to>
    <xdr:pic>
      <xdr:nvPicPr>
        <xdr:cNvPr id="42" name="Рисунок 10" descr="БДН-24.jp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479520" y="612432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9</xdr:row>
      <xdr:rowOff>47520</xdr:rowOff>
    </xdr:from>
    <xdr:to>
      <xdr:col>1</xdr:col>
      <xdr:colOff>1066680</xdr:colOff>
      <xdr:row>15</xdr:row>
      <xdr:rowOff>167760</xdr:rowOff>
    </xdr:to>
    <xdr:pic>
      <xdr:nvPicPr>
        <xdr:cNvPr id="43" name="Рисунок 11" descr="БДН-9.jpg"/>
        <xdr:cNvPicPr/>
      </xdr:nvPicPr>
      <xdr:blipFill>
        <a:blip xmlns:r="http://schemas.openxmlformats.org/officeDocument/2006/relationships" r:embed="rId4" cstate="print"/>
        <a:stretch/>
      </xdr:blipFill>
      <xdr:spPr>
        <a:xfrm>
          <a:off x="489240" y="1885680"/>
          <a:ext cx="990360" cy="1320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66600</xdr:colOff>
      <xdr:row>16</xdr:row>
      <xdr:rowOff>9360</xdr:rowOff>
    </xdr:from>
    <xdr:to>
      <xdr:col>1</xdr:col>
      <xdr:colOff>1095120</xdr:colOff>
      <xdr:row>22</xdr:row>
      <xdr:rowOff>142560</xdr:rowOff>
    </xdr:to>
    <xdr:pic>
      <xdr:nvPicPr>
        <xdr:cNvPr id="44" name="Рисунок 12" descr="БДН-12.jpg"/>
        <xdr:cNvPicPr/>
      </xdr:nvPicPr>
      <xdr:blipFill>
        <a:blip xmlns:r="http://schemas.openxmlformats.org/officeDocument/2006/relationships" r:embed="rId5" cstate="print"/>
        <a:stretch/>
      </xdr:blipFill>
      <xdr:spPr>
        <a:xfrm>
          <a:off x="479520" y="3247920"/>
          <a:ext cx="1028520" cy="1371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114480</xdr:colOff>
      <xdr:row>23</xdr:row>
      <xdr:rowOff>47520</xdr:rowOff>
    </xdr:from>
    <xdr:to>
      <xdr:col>1</xdr:col>
      <xdr:colOff>1085760</xdr:colOff>
      <xdr:row>29</xdr:row>
      <xdr:rowOff>142200</xdr:rowOff>
    </xdr:to>
    <xdr:pic>
      <xdr:nvPicPr>
        <xdr:cNvPr id="45" name="Рисунок 13" descr="БДН-18.jpg"/>
        <xdr:cNvPicPr/>
      </xdr:nvPicPr>
      <xdr:blipFill>
        <a:blip xmlns:r="http://schemas.openxmlformats.org/officeDocument/2006/relationships" r:embed="rId6" cstate="print"/>
        <a:stretch/>
      </xdr:blipFill>
      <xdr:spPr>
        <a:xfrm>
          <a:off x="527400" y="4724280"/>
          <a:ext cx="971280" cy="1294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95400</xdr:colOff>
      <xdr:row>37</xdr:row>
      <xdr:rowOff>38160</xdr:rowOff>
    </xdr:from>
    <xdr:to>
      <xdr:col>1</xdr:col>
      <xdr:colOff>1095120</xdr:colOff>
      <xdr:row>43</xdr:row>
      <xdr:rowOff>171000</xdr:rowOff>
    </xdr:to>
    <xdr:pic>
      <xdr:nvPicPr>
        <xdr:cNvPr id="46" name="Рисунок 14" descr="БДН-40.jpg"/>
        <xdr:cNvPicPr/>
      </xdr:nvPicPr>
      <xdr:blipFill>
        <a:blip xmlns:r="http://schemas.openxmlformats.org/officeDocument/2006/relationships" r:embed="rId7" cstate="print"/>
        <a:stretch/>
      </xdr:blipFill>
      <xdr:spPr>
        <a:xfrm>
          <a:off x="508320" y="7515360"/>
          <a:ext cx="999720" cy="1333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57240</xdr:colOff>
      <xdr:row>2</xdr:row>
      <xdr:rowOff>38160</xdr:rowOff>
    </xdr:from>
    <xdr:to>
      <xdr:col>1</xdr:col>
      <xdr:colOff>1064160</xdr:colOff>
      <xdr:row>8</xdr:row>
      <xdr:rowOff>142560</xdr:rowOff>
    </xdr:to>
    <xdr:pic>
      <xdr:nvPicPr>
        <xdr:cNvPr id="47" name="Рисунок 15" descr="БДН-6.jpg"/>
        <xdr:cNvPicPr/>
      </xdr:nvPicPr>
      <xdr:blipFill>
        <a:blip xmlns:r="http://schemas.openxmlformats.org/officeDocument/2006/relationships" r:embed="rId8" cstate="print"/>
        <a:stretch/>
      </xdr:blipFill>
      <xdr:spPr>
        <a:xfrm>
          <a:off x="470160" y="438120"/>
          <a:ext cx="1006920" cy="13428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28440</xdr:colOff>
      <xdr:row>103</xdr:row>
      <xdr:rowOff>95400</xdr:rowOff>
    </xdr:from>
    <xdr:to>
      <xdr:col>1</xdr:col>
      <xdr:colOff>1123560</xdr:colOff>
      <xdr:row>108</xdr:row>
      <xdr:rowOff>190440</xdr:rowOff>
    </xdr:to>
    <xdr:pic>
      <xdr:nvPicPr>
        <xdr:cNvPr id="48" name="Рисунок 12" descr="BPn-40(1)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41360" y="20898000"/>
          <a:ext cx="1095120" cy="1095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66600</xdr:colOff>
      <xdr:row>37</xdr:row>
      <xdr:rowOff>28440</xdr:rowOff>
    </xdr:from>
    <xdr:to>
      <xdr:col>1</xdr:col>
      <xdr:colOff>1076040</xdr:colOff>
      <xdr:row>43</xdr:row>
      <xdr:rowOff>173880</xdr:rowOff>
    </xdr:to>
    <xdr:pic>
      <xdr:nvPicPr>
        <xdr:cNvPr id="49" name="Рисунок 13" descr="БП-60.jpg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479520" y="742932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57240</xdr:colOff>
      <xdr:row>44</xdr:row>
      <xdr:rowOff>47520</xdr:rowOff>
    </xdr:from>
    <xdr:to>
      <xdr:col>1</xdr:col>
      <xdr:colOff>1066680</xdr:colOff>
      <xdr:row>50</xdr:row>
      <xdr:rowOff>193320</xdr:rowOff>
    </xdr:to>
    <xdr:pic>
      <xdr:nvPicPr>
        <xdr:cNvPr id="50" name="Рисунок 14" descr="БП-60.jpg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470160" y="884880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47520</xdr:colOff>
      <xdr:row>16</xdr:row>
      <xdr:rowOff>19080</xdr:rowOff>
    </xdr:from>
    <xdr:to>
      <xdr:col>1</xdr:col>
      <xdr:colOff>1068840</xdr:colOff>
      <xdr:row>22</xdr:row>
      <xdr:rowOff>180720</xdr:rowOff>
    </xdr:to>
    <xdr:pic>
      <xdr:nvPicPr>
        <xdr:cNvPr id="51" name="Рисунок 15" descr="БП-25.jp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460440" y="3219480"/>
          <a:ext cx="1021320" cy="136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47520</xdr:colOff>
      <xdr:row>89</xdr:row>
      <xdr:rowOff>9360</xdr:rowOff>
    </xdr:from>
    <xdr:to>
      <xdr:col>1</xdr:col>
      <xdr:colOff>1056960</xdr:colOff>
      <xdr:row>95</xdr:row>
      <xdr:rowOff>154800</xdr:rowOff>
    </xdr:to>
    <xdr:pic>
      <xdr:nvPicPr>
        <xdr:cNvPr id="52" name="Рисунок 16" descr="БПн-25.jpg"/>
        <xdr:cNvPicPr/>
      </xdr:nvPicPr>
      <xdr:blipFill>
        <a:blip xmlns:r="http://schemas.openxmlformats.org/officeDocument/2006/relationships" r:embed="rId4" cstate="print"/>
        <a:stretch/>
      </xdr:blipFill>
      <xdr:spPr>
        <a:xfrm>
          <a:off x="460440" y="1801152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66600</xdr:colOff>
      <xdr:row>2</xdr:row>
      <xdr:rowOff>15840</xdr:rowOff>
    </xdr:from>
    <xdr:to>
      <xdr:col>1</xdr:col>
      <xdr:colOff>1076040</xdr:colOff>
      <xdr:row>8</xdr:row>
      <xdr:rowOff>161280</xdr:rowOff>
    </xdr:to>
    <xdr:pic>
      <xdr:nvPicPr>
        <xdr:cNvPr id="53" name="Рисунок 17" descr="БП-10.jpg"/>
        <xdr:cNvPicPr/>
      </xdr:nvPicPr>
      <xdr:blipFill>
        <a:blip xmlns:r="http://schemas.openxmlformats.org/officeDocument/2006/relationships" r:embed="rId5" cstate="print"/>
        <a:stretch/>
      </xdr:blipFill>
      <xdr:spPr>
        <a:xfrm>
          <a:off x="479520" y="41580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95400</xdr:colOff>
      <xdr:row>9</xdr:row>
      <xdr:rowOff>38160</xdr:rowOff>
    </xdr:from>
    <xdr:to>
      <xdr:col>1</xdr:col>
      <xdr:colOff>1085760</xdr:colOff>
      <xdr:row>15</xdr:row>
      <xdr:rowOff>158760</xdr:rowOff>
    </xdr:to>
    <xdr:pic>
      <xdr:nvPicPr>
        <xdr:cNvPr id="54" name="Рисунок 18" descr="БП-15.jpg"/>
        <xdr:cNvPicPr/>
      </xdr:nvPicPr>
      <xdr:blipFill>
        <a:blip xmlns:r="http://schemas.openxmlformats.org/officeDocument/2006/relationships" r:embed="rId6" cstate="print"/>
        <a:stretch/>
      </xdr:blipFill>
      <xdr:spPr>
        <a:xfrm>
          <a:off x="508320" y="1838520"/>
          <a:ext cx="990360" cy="1320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66600</xdr:colOff>
      <xdr:row>23</xdr:row>
      <xdr:rowOff>19080</xdr:rowOff>
    </xdr:from>
    <xdr:to>
      <xdr:col>1</xdr:col>
      <xdr:colOff>1056960</xdr:colOff>
      <xdr:row>29</xdr:row>
      <xdr:rowOff>139320</xdr:rowOff>
    </xdr:to>
    <xdr:pic>
      <xdr:nvPicPr>
        <xdr:cNvPr id="55" name="Рисунок 19" descr="БП-30.jpg"/>
        <xdr:cNvPicPr/>
      </xdr:nvPicPr>
      <xdr:blipFill>
        <a:blip xmlns:r="http://schemas.openxmlformats.org/officeDocument/2006/relationships" r:embed="rId7" cstate="print"/>
        <a:stretch/>
      </xdr:blipFill>
      <xdr:spPr>
        <a:xfrm>
          <a:off x="479520" y="4619520"/>
          <a:ext cx="990360" cy="1320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30</xdr:row>
      <xdr:rowOff>9360</xdr:rowOff>
    </xdr:from>
    <xdr:to>
      <xdr:col>1</xdr:col>
      <xdr:colOff>1104840</xdr:colOff>
      <xdr:row>36</xdr:row>
      <xdr:rowOff>180360</xdr:rowOff>
    </xdr:to>
    <xdr:pic>
      <xdr:nvPicPr>
        <xdr:cNvPr id="56" name="Рисунок 20" descr="БП-40.jpg"/>
        <xdr:cNvPicPr/>
      </xdr:nvPicPr>
      <xdr:blipFill>
        <a:blip xmlns:r="http://schemas.openxmlformats.org/officeDocument/2006/relationships" r:embed="rId8" cstate="print"/>
        <a:stretch/>
      </xdr:blipFill>
      <xdr:spPr>
        <a:xfrm>
          <a:off x="489240" y="6010200"/>
          <a:ext cx="1028520" cy="1371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95400</xdr:colOff>
      <xdr:row>75</xdr:row>
      <xdr:rowOff>9360</xdr:rowOff>
    </xdr:from>
    <xdr:to>
      <xdr:col>1</xdr:col>
      <xdr:colOff>1104840</xdr:colOff>
      <xdr:row>81</xdr:row>
      <xdr:rowOff>155160</xdr:rowOff>
    </xdr:to>
    <xdr:pic>
      <xdr:nvPicPr>
        <xdr:cNvPr id="57" name="Рисунок 21" descr="БПн-10.jpg"/>
        <xdr:cNvPicPr/>
      </xdr:nvPicPr>
      <xdr:blipFill>
        <a:blip xmlns:r="http://schemas.openxmlformats.org/officeDocument/2006/relationships" r:embed="rId9" cstate="print"/>
        <a:stretch/>
      </xdr:blipFill>
      <xdr:spPr>
        <a:xfrm>
          <a:off x="508320" y="1521144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66600</xdr:colOff>
      <xdr:row>82</xdr:row>
      <xdr:rowOff>9360</xdr:rowOff>
    </xdr:from>
    <xdr:to>
      <xdr:col>1</xdr:col>
      <xdr:colOff>1066320</xdr:colOff>
      <xdr:row>88</xdr:row>
      <xdr:rowOff>142200</xdr:rowOff>
    </xdr:to>
    <xdr:pic>
      <xdr:nvPicPr>
        <xdr:cNvPr id="58" name="Рисунок 22" descr="БПн-15.jpg"/>
        <xdr:cNvPicPr/>
      </xdr:nvPicPr>
      <xdr:blipFill>
        <a:blip xmlns:r="http://schemas.openxmlformats.org/officeDocument/2006/relationships" r:embed="rId10" cstate="print"/>
        <a:stretch/>
      </xdr:blipFill>
      <xdr:spPr>
        <a:xfrm>
          <a:off x="479520" y="16611480"/>
          <a:ext cx="999720" cy="1333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85680</xdr:colOff>
      <xdr:row>96</xdr:row>
      <xdr:rowOff>9360</xdr:rowOff>
    </xdr:from>
    <xdr:to>
      <xdr:col>1</xdr:col>
      <xdr:colOff>1107000</xdr:colOff>
      <xdr:row>102</xdr:row>
      <xdr:rowOff>171360</xdr:rowOff>
    </xdr:to>
    <xdr:pic>
      <xdr:nvPicPr>
        <xdr:cNvPr id="59" name="Рисунок 23" descr="БПн-30.jpg"/>
        <xdr:cNvPicPr/>
      </xdr:nvPicPr>
      <xdr:blipFill>
        <a:blip xmlns:r="http://schemas.openxmlformats.org/officeDocument/2006/relationships" r:embed="rId11" cstate="print"/>
        <a:stretch/>
      </xdr:blipFill>
      <xdr:spPr>
        <a:xfrm>
          <a:off x="498600" y="19411920"/>
          <a:ext cx="1021320" cy="136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57240</xdr:colOff>
      <xdr:row>58</xdr:row>
      <xdr:rowOff>47520</xdr:rowOff>
    </xdr:from>
    <xdr:to>
      <xdr:col>1</xdr:col>
      <xdr:colOff>1066680</xdr:colOff>
      <xdr:row>64</xdr:row>
      <xdr:rowOff>192960</xdr:rowOff>
    </xdr:to>
    <xdr:pic>
      <xdr:nvPicPr>
        <xdr:cNvPr id="60" name="Рисунок 25" descr="БП-60.jpg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470160" y="1164888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66600</xdr:colOff>
      <xdr:row>65</xdr:row>
      <xdr:rowOff>28440</xdr:rowOff>
    </xdr:from>
    <xdr:to>
      <xdr:col>1</xdr:col>
      <xdr:colOff>1076040</xdr:colOff>
      <xdr:row>71</xdr:row>
      <xdr:rowOff>117360</xdr:rowOff>
    </xdr:to>
    <xdr:pic>
      <xdr:nvPicPr>
        <xdr:cNvPr id="61" name="Рисунок 26" descr="БП-60.jpg"/>
        <xdr:cNvPicPr/>
      </xdr:nvPicPr>
      <xdr:blipFill>
        <a:blip xmlns:r="http://schemas.openxmlformats.org/officeDocument/2006/relationships" r:embed="rId12" cstate="print"/>
        <a:stretch/>
      </xdr:blipFill>
      <xdr:spPr>
        <a:xfrm>
          <a:off x="479520" y="13030200"/>
          <a:ext cx="1009440" cy="1288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95400</xdr:colOff>
      <xdr:row>51</xdr:row>
      <xdr:rowOff>22320</xdr:rowOff>
    </xdr:from>
    <xdr:to>
      <xdr:col>1</xdr:col>
      <xdr:colOff>1114200</xdr:colOff>
      <xdr:row>57</xdr:row>
      <xdr:rowOff>180720</xdr:rowOff>
    </xdr:to>
    <xdr:pic>
      <xdr:nvPicPr>
        <xdr:cNvPr id="62" name="Рисунок 27" descr="БП-40.jpg"/>
        <xdr:cNvPicPr/>
      </xdr:nvPicPr>
      <xdr:blipFill>
        <a:blip xmlns:r="http://schemas.openxmlformats.org/officeDocument/2006/relationships" r:embed="rId13" cstate="print"/>
        <a:stretch/>
      </xdr:blipFill>
      <xdr:spPr>
        <a:xfrm>
          <a:off x="508320" y="10223640"/>
          <a:ext cx="1018800" cy="1358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</xdr:row>
      <xdr:rowOff>38160</xdr:rowOff>
    </xdr:from>
    <xdr:to>
      <xdr:col>1</xdr:col>
      <xdr:colOff>1009440</xdr:colOff>
      <xdr:row>1</xdr:row>
      <xdr:rowOff>1079280</xdr:rowOff>
    </xdr:to>
    <xdr:pic>
      <xdr:nvPicPr>
        <xdr:cNvPr id="63" name="Рисунок 9" descr="Поднос 3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830520" y="419040"/>
          <a:ext cx="780840" cy="104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247680</xdr:colOff>
      <xdr:row>2</xdr:row>
      <xdr:rowOff>38160</xdr:rowOff>
    </xdr:from>
    <xdr:to>
      <xdr:col>1</xdr:col>
      <xdr:colOff>1028520</xdr:colOff>
      <xdr:row>2</xdr:row>
      <xdr:rowOff>1079280</xdr:rowOff>
    </xdr:to>
    <xdr:pic>
      <xdr:nvPicPr>
        <xdr:cNvPr id="64" name="Рисунок 10" descr="Поднос 3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849600" y="1533600"/>
          <a:ext cx="780840" cy="104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209520</xdr:colOff>
      <xdr:row>3</xdr:row>
      <xdr:rowOff>28440</xdr:rowOff>
    </xdr:from>
    <xdr:to>
      <xdr:col>1</xdr:col>
      <xdr:colOff>990360</xdr:colOff>
      <xdr:row>3</xdr:row>
      <xdr:rowOff>1069560</xdr:rowOff>
    </xdr:to>
    <xdr:pic>
      <xdr:nvPicPr>
        <xdr:cNvPr id="65" name="Рисунок 11" descr="Поднос 3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811440" y="2638440"/>
          <a:ext cx="780840" cy="104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190440</xdr:colOff>
      <xdr:row>4</xdr:row>
      <xdr:rowOff>38160</xdr:rowOff>
    </xdr:from>
    <xdr:to>
      <xdr:col>1</xdr:col>
      <xdr:colOff>971280</xdr:colOff>
      <xdr:row>4</xdr:row>
      <xdr:rowOff>1079280</xdr:rowOff>
    </xdr:to>
    <xdr:pic>
      <xdr:nvPicPr>
        <xdr:cNvPr id="66" name="Рисунок 12" descr="Поднос 3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792360" y="3762360"/>
          <a:ext cx="780840" cy="104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209520</xdr:colOff>
      <xdr:row>5</xdr:row>
      <xdr:rowOff>28440</xdr:rowOff>
    </xdr:from>
    <xdr:to>
      <xdr:col>1</xdr:col>
      <xdr:colOff>990360</xdr:colOff>
      <xdr:row>5</xdr:row>
      <xdr:rowOff>1069560</xdr:rowOff>
    </xdr:to>
    <xdr:pic>
      <xdr:nvPicPr>
        <xdr:cNvPr id="67" name="Рисунок 13" descr="Поднос 3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811440" y="4867200"/>
          <a:ext cx="780840" cy="104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190440</xdr:colOff>
      <xdr:row>6</xdr:row>
      <xdr:rowOff>19080</xdr:rowOff>
    </xdr:from>
    <xdr:to>
      <xdr:col>1</xdr:col>
      <xdr:colOff>971280</xdr:colOff>
      <xdr:row>6</xdr:row>
      <xdr:rowOff>1060200</xdr:rowOff>
    </xdr:to>
    <xdr:pic>
      <xdr:nvPicPr>
        <xdr:cNvPr id="68" name="Рисунок 14" descr="Поднос 3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792360" y="5972040"/>
          <a:ext cx="780840" cy="104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190440</xdr:colOff>
      <xdr:row>7</xdr:row>
      <xdr:rowOff>19080</xdr:rowOff>
    </xdr:from>
    <xdr:to>
      <xdr:col>1</xdr:col>
      <xdr:colOff>971280</xdr:colOff>
      <xdr:row>7</xdr:row>
      <xdr:rowOff>1060200</xdr:rowOff>
    </xdr:to>
    <xdr:pic>
      <xdr:nvPicPr>
        <xdr:cNvPr id="69" name="Рисунок 15" descr="Поднос 3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792360" y="7086600"/>
          <a:ext cx="780840" cy="104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228600</xdr:colOff>
      <xdr:row>8</xdr:row>
      <xdr:rowOff>9360</xdr:rowOff>
    </xdr:from>
    <xdr:to>
      <xdr:col>1</xdr:col>
      <xdr:colOff>1009440</xdr:colOff>
      <xdr:row>8</xdr:row>
      <xdr:rowOff>1050480</xdr:rowOff>
    </xdr:to>
    <xdr:pic>
      <xdr:nvPicPr>
        <xdr:cNvPr id="70" name="Рисунок 16" descr="Поднос 3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830520" y="8191440"/>
          <a:ext cx="780840" cy="10411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57240</xdr:colOff>
      <xdr:row>2</xdr:row>
      <xdr:rowOff>104760</xdr:rowOff>
    </xdr:from>
    <xdr:to>
      <xdr:col>1</xdr:col>
      <xdr:colOff>985680</xdr:colOff>
      <xdr:row>8</xdr:row>
      <xdr:rowOff>142560</xdr:rowOff>
    </xdr:to>
    <xdr:pic>
      <xdr:nvPicPr>
        <xdr:cNvPr id="71" name="Рисунок 4" descr="М-12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70160" y="504720"/>
          <a:ext cx="928440" cy="123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95400</xdr:colOff>
      <xdr:row>9</xdr:row>
      <xdr:rowOff>47520</xdr:rowOff>
    </xdr:from>
    <xdr:to>
      <xdr:col>1</xdr:col>
      <xdr:colOff>1023840</xdr:colOff>
      <xdr:row>15</xdr:row>
      <xdr:rowOff>85680</xdr:rowOff>
    </xdr:to>
    <xdr:pic>
      <xdr:nvPicPr>
        <xdr:cNvPr id="72" name="Рисунок 5" descr="М-12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08320" y="1847880"/>
          <a:ext cx="928440" cy="123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133200</xdr:colOff>
      <xdr:row>16</xdr:row>
      <xdr:rowOff>19080</xdr:rowOff>
    </xdr:from>
    <xdr:to>
      <xdr:col>1</xdr:col>
      <xdr:colOff>1061640</xdr:colOff>
      <xdr:row>22</xdr:row>
      <xdr:rowOff>56880</xdr:rowOff>
    </xdr:to>
    <xdr:pic>
      <xdr:nvPicPr>
        <xdr:cNvPr id="73" name="Рисунок 6" descr="М-12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46120" y="3219480"/>
          <a:ext cx="928440" cy="1238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57240</xdr:colOff>
      <xdr:row>2</xdr:row>
      <xdr:rowOff>28440</xdr:rowOff>
    </xdr:from>
    <xdr:to>
      <xdr:col>1</xdr:col>
      <xdr:colOff>1066680</xdr:colOff>
      <xdr:row>8</xdr:row>
      <xdr:rowOff>173880</xdr:rowOff>
    </xdr:to>
    <xdr:pic>
      <xdr:nvPicPr>
        <xdr:cNvPr id="74" name="Рисунок 4" descr="С-12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70160" y="42840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104760</xdr:colOff>
      <xdr:row>9</xdr:row>
      <xdr:rowOff>19080</xdr:rowOff>
    </xdr:from>
    <xdr:to>
      <xdr:col>1</xdr:col>
      <xdr:colOff>1114200</xdr:colOff>
      <xdr:row>15</xdr:row>
      <xdr:rowOff>164880</xdr:rowOff>
    </xdr:to>
    <xdr:pic>
      <xdr:nvPicPr>
        <xdr:cNvPr id="75" name="Рисунок 5" descr="С-12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17680" y="181944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47520</xdr:colOff>
      <xdr:row>16</xdr:row>
      <xdr:rowOff>9360</xdr:rowOff>
    </xdr:from>
    <xdr:to>
      <xdr:col>1</xdr:col>
      <xdr:colOff>1056960</xdr:colOff>
      <xdr:row>22</xdr:row>
      <xdr:rowOff>154800</xdr:rowOff>
    </xdr:to>
    <xdr:pic>
      <xdr:nvPicPr>
        <xdr:cNvPr id="76" name="Рисунок 6" descr="С-12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60440" y="320976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130320</xdr:colOff>
      <xdr:row>23</xdr:row>
      <xdr:rowOff>37080</xdr:rowOff>
    </xdr:from>
    <xdr:to>
      <xdr:col>1</xdr:col>
      <xdr:colOff>1009080</xdr:colOff>
      <xdr:row>29</xdr:row>
      <xdr:rowOff>132840</xdr:rowOff>
    </xdr:to>
    <xdr:pic>
      <xdr:nvPicPr>
        <xdr:cNvPr id="77" name="Рисунок 3" descr="DE-4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43240" y="4742280"/>
          <a:ext cx="878760" cy="1296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66600</xdr:colOff>
      <xdr:row>30</xdr:row>
      <xdr:rowOff>28440</xdr:rowOff>
    </xdr:from>
    <xdr:to>
      <xdr:col>1</xdr:col>
      <xdr:colOff>1076040</xdr:colOff>
      <xdr:row>36</xdr:row>
      <xdr:rowOff>173880</xdr:rowOff>
    </xdr:to>
    <xdr:pic>
      <xdr:nvPicPr>
        <xdr:cNvPr id="78" name="Рисунок 7" descr="КНА-60.jpg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479520" y="6134040"/>
          <a:ext cx="1009440" cy="13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28440</xdr:colOff>
      <xdr:row>2</xdr:row>
      <xdr:rowOff>38160</xdr:rowOff>
    </xdr:from>
    <xdr:to>
      <xdr:col>1</xdr:col>
      <xdr:colOff>1028160</xdr:colOff>
      <xdr:row>8</xdr:row>
      <xdr:rowOff>171000</xdr:rowOff>
    </xdr:to>
    <xdr:pic>
      <xdr:nvPicPr>
        <xdr:cNvPr id="79" name="Рисунок 8" descr="ДЭ-1.jp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441360" y="542880"/>
          <a:ext cx="999720" cy="1333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85680</xdr:colOff>
      <xdr:row>9</xdr:row>
      <xdr:rowOff>28440</xdr:rowOff>
    </xdr:from>
    <xdr:to>
      <xdr:col>1</xdr:col>
      <xdr:colOff>1085400</xdr:colOff>
      <xdr:row>15</xdr:row>
      <xdr:rowOff>161640</xdr:rowOff>
    </xdr:to>
    <xdr:pic>
      <xdr:nvPicPr>
        <xdr:cNvPr id="80" name="Рисунок 10" descr="ДЭ-1.jp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498600" y="1933560"/>
          <a:ext cx="999720" cy="1333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66600</xdr:colOff>
      <xdr:row>16</xdr:row>
      <xdr:rowOff>38160</xdr:rowOff>
    </xdr:from>
    <xdr:to>
      <xdr:col>1</xdr:col>
      <xdr:colOff>1066320</xdr:colOff>
      <xdr:row>22</xdr:row>
      <xdr:rowOff>171000</xdr:rowOff>
    </xdr:to>
    <xdr:pic>
      <xdr:nvPicPr>
        <xdr:cNvPr id="81" name="Рисунок 11" descr="ДЭ-1.jp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479520" y="3343320"/>
          <a:ext cx="999720" cy="1333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28440</xdr:colOff>
      <xdr:row>2</xdr:row>
      <xdr:rowOff>133200</xdr:rowOff>
    </xdr:from>
    <xdr:to>
      <xdr:col>1</xdr:col>
      <xdr:colOff>1132920</xdr:colOff>
      <xdr:row>8</xdr:row>
      <xdr:rowOff>37440</xdr:rowOff>
    </xdr:to>
    <xdr:pic>
      <xdr:nvPicPr>
        <xdr:cNvPr id="82" name="Рисунок 5" descr="ЦКТ-40.jpe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41360" y="533160"/>
          <a:ext cx="1104480" cy="1104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57240</xdr:colOff>
      <xdr:row>9</xdr:row>
      <xdr:rowOff>104760</xdr:rowOff>
    </xdr:from>
    <xdr:to>
      <xdr:col>1</xdr:col>
      <xdr:colOff>1123560</xdr:colOff>
      <xdr:row>14</xdr:row>
      <xdr:rowOff>171000</xdr:rowOff>
    </xdr:to>
    <xdr:pic>
      <xdr:nvPicPr>
        <xdr:cNvPr id="83" name="Рисунок 6" descr="ЦКТ-60.jpeg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470160" y="1905120"/>
          <a:ext cx="1066320" cy="1066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28440</xdr:colOff>
      <xdr:row>16</xdr:row>
      <xdr:rowOff>133200</xdr:rowOff>
    </xdr:from>
    <xdr:to>
      <xdr:col>1</xdr:col>
      <xdr:colOff>1113840</xdr:colOff>
      <xdr:row>22</xdr:row>
      <xdr:rowOff>18360</xdr:rowOff>
    </xdr:to>
    <xdr:pic>
      <xdr:nvPicPr>
        <xdr:cNvPr id="84" name="Рисунок 7" descr="ЦКТ-80.jpe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441360" y="3333600"/>
          <a:ext cx="1085400" cy="1085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114480</xdr:colOff>
      <xdr:row>22</xdr:row>
      <xdr:rowOff>39240</xdr:rowOff>
    </xdr:from>
    <xdr:to>
      <xdr:col>1</xdr:col>
      <xdr:colOff>1009440</xdr:colOff>
      <xdr:row>22</xdr:row>
      <xdr:rowOff>801720</xdr:rowOff>
    </xdr:to>
    <xdr:pic>
      <xdr:nvPicPr>
        <xdr:cNvPr id="85" name="Рисунок 12" descr="Автоматика КНЭ в сборе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27400" y="15564960"/>
          <a:ext cx="894960" cy="762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171360</xdr:colOff>
      <xdr:row>29</xdr:row>
      <xdr:rowOff>20880</xdr:rowOff>
    </xdr:from>
    <xdr:to>
      <xdr:col>1</xdr:col>
      <xdr:colOff>1009080</xdr:colOff>
      <xdr:row>29</xdr:row>
      <xdr:rowOff>1059120</xdr:rowOff>
    </xdr:to>
    <xdr:pic>
      <xdr:nvPicPr>
        <xdr:cNvPr id="86" name="Рисунок 16" descr="KT-9.jpg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584280" y="19051920"/>
          <a:ext cx="837720" cy="1038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162000</xdr:colOff>
      <xdr:row>30</xdr:row>
      <xdr:rowOff>219240</xdr:rowOff>
    </xdr:from>
    <xdr:to>
      <xdr:col>1</xdr:col>
      <xdr:colOff>999720</xdr:colOff>
      <xdr:row>30</xdr:row>
      <xdr:rowOff>1257480</xdr:rowOff>
    </xdr:to>
    <xdr:pic>
      <xdr:nvPicPr>
        <xdr:cNvPr id="87" name="Рисунок 17" descr="KT-9.jpg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574920" y="20383560"/>
          <a:ext cx="837720" cy="1038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162000</xdr:colOff>
      <xdr:row>31</xdr:row>
      <xdr:rowOff>104760</xdr:rowOff>
    </xdr:from>
    <xdr:to>
      <xdr:col>1</xdr:col>
      <xdr:colOff>999720</xdr:colOff>
      <xdr:row>31</xdr:row>
      <xdr:rowOff>1143000</xdr:rowOff>
    </xdr:to>
    <xdr:pic>
      <xdr:nvPicPr>
        <xdr:cNvPr id="88" name="Рисунок 18" descr="KT-9.jpg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574920" y="21697920"/>
          <a:ext cx="837720" cy="1038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56880</xdr:colOff>
      <xdr:row>14</xdr:row>
      <xdr:rowOff>32040</xdr:rowOff>
    </xdr:from>
    <xdr:to>
      <xdr:col>1</xdr:col>
      <xdr:colOff>1085400</xdr:colOff>
      <xdr:row>14</xdr:row>
      <xdr:rowOff>676080</xdr:rowOff>
    </xdr:to>
    <xdr:pic>
      <xdr:nvPicPr>
        <xdr:cNvPr id="89" name="Рисунок 25" descr="Кольцо старое.jpe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469800" y="8556840"/>
          <a:ext cx="1028520" cy="644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28440</xdr:colOff>
      <xdr:row>15</xdr:row>
      <xdr:rowOff>47520</xdr:rowOff>
    </xdr:from>
    <xdr:to>
      <xdr:col>1</xdr:col>
      <xdr:colOff>1056960</xdr:colOff>
      <xdr:row>15</xdr:row>
      <xdr:rowOff>809280</xdr:rowOff>
    </xdr:to>
    <xdr:pic>
      <xdr:nvPicPr>
        <xdr:cNvPr id="90" name="Рисунок 26" descr="Кольцо старое.jpeg"/>
        <xdr:cNvPicPr/>
      </xdr:nvPicPr>
      <xdr:blipFill>
        <a:blip xmlns:r="http://schemas.openxmlformats.org/officeDocument/2006/relationships" r:embed="rId4" cstate="print"/>
        <a:stretch/>
      </xdr:blipFill>
      <xdr:spPr>
        <a:xfrm>
          <a:off x="441360" y="9296280"/>
          <a:ext cx="102852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28440</xdr:colOff>
      <xdr:row>16</xdr:row>
      <xdr:rowOff>28440</xdr:rowOff>
    </xdr:from>
    <xdr:to>
      <xdr:col>1</xdr:col>
      <xdr:colOff>1056960</xdr:colOff>
      <xdr:row>16</xdr:row>
      <xdr:rowOff>761400</xdr:rowOff>
    </xdr:to>
    <xdr:pic>
      <xdr:nvPicPr>
        <xdr:cNvPr id="91" name="Рисунок 27" descr="Кольцо старое.jpeg"/>
        <xdr:cNvPicPr/>
      </xdr:nvPicPr>
      <xdr:blipFill>
        <a:blip xmlns:r="http://schemas.openxmlformats.org/officeDocument/2006/relationships" r:embed="rId5" cstate="print"/>
        <a:stretch/>
      </xdr:blipFill>
      <xdr:spPr>
        <a:xfrm>
          <a:off x="441360" y="10125000"/>
          <a:ext cx="102852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57240</xdr:colOff>
      <xdr:row>18</xdr:row>
      <xdr:rowOff>28440</xdr:rowOff>
    </xdr:from>
    <xdr:to>
      <xdr:col>1</xdr:col>
      <xdr:colOff>1028520</xdr:colOff>
      <xdr:row>18</xdr:row>
      <xdr:rowOff>761760</xdr:rowOff>
    </xdr:to>
    <xdr:pic>
      <xdr:nvPicPr>
        <xdr:cNvPr id="92" name="Рисунок 28" descr="кольцо термоса силикон.jpg"/>
        <xdr:cNvPicPr/>
      </xdr:nvPicPr>
      <xdr:blipFill>
        <a:blip xmlns:r="http://schemas.openxmlformats.org/officeDocument/2006/relationships" r:embed="rId6" cstate="print"/>
        <a:stretch/>
      </xdr:blipFill>
      <xdr:spPr>
        <a:xfrm>
          <a:off x="470160" y="11525040"/>
          <a:ext cx="971280" cy="733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57240</xdr:colOff>
      <xdr:row>19</xdr:row>
      <xdr:rowOff>19080</xdr:rowOff>
    </xdr:from>
    <xdr:to>
      <xdr:col>1</xdr:col>
      <xdr:colOff>1028520</xdr:colOff>
      <xdr:row>19</xdr:row>
      <xdr:rowOff>752400</xdr:rowOff>
    </xdr:to>
    <xdr:pic>
      <xdr:nvPicPr>
        <xdr:cNvPr id="93" name="Рисунок 29" descr="кольцо термоса силикон.jpg"/>
        <xdr:cNvPicPr/>
      </xdr:nvPicPr>
      <xdr:blipFill>
        <a:blip xmlns:r="http://schemas.openxmlformats.org/officeDocument/2006/relationships" r:embed="rId6" cstate="print"/>
        <a:stretch/>
      </xdr:blipFill>
      <xdr:spPr>
        <a:xfrm>
          <a:off x="470160" y="12325320"/>
          <a:ext cx="971280" cy="733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19080</xdr:colOff>
      <xdr:row>20</xdr:row>
      <xdr:rowOff>66600</xdr:rowOff>
    </xdr:from>
    <xdr:to>
      <xdr:col>1</xdr:col>
      <xdr:colOff>1095120</xdr:colOff>
      <xdr:row>20</xdr:row>
      <xdr:rowOff>1171080</xdr:rowOff>
    </xdr:to>
    <xdr:pic>
      <xdr:nvPicPr>
        <xdr:cNvPr id="94" name="Рисунок 30" descr="ТГ12 резинкой.jpg"/>
        <xdr:cNvPicPr/>
      </xdr:nvPicPr>
      <xdr:blipFill>
        <a:blip xmlns:r="http://schemas.openxmlformats.org/officeDocument/2006/relationships" r:embed="rId7" cstate="print"/>
        <a:stretch/>
      </xdr:blipFill>
      <xdr:spPr>
        <a:xfrm>
          <a:off x="432000" y="13192200"/>
          <a:ext cx="1076040" cy="1104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28440</xdr:colOff>
      <xdr:row>21</xdr:row>
      <xdr:rowOff>9360</xdr:rowOff>
    </xdr:from>
    <xdr:to>
      <xdr:col>1</xdr:col>
      <xdr:colOff>1104480</xdr:colOff>
      <xdr:row>21</xdr:row>
      <xdr:rowOff>1113840</xdr:rowOff>
    </xdr:to>
    <xdr:pic>
      <xdr:nvPicPr>
        <xdr:cNvPr id="95" name="Рисунок 31" descr="ТГ12 резинкой.jpg"/>
        <xdr:cNvPicPr/>
      </xdr:nvPicPr>
      <xdr:blipFill>
        <a:blip xmlns:r="http://schemas.openxmlformats.org/officeDocument/2006/relationships" r:embed="rId7" cstate="print"/>
        <a:stretch/>
      </xdr:blipFill>
      <xdr:spPr>
        <a:xfrm>
          <a:off x="441360" y="14373000"/>
          <a:ext cx="1076040" cy="1104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85680</xdr:colOff>
      <xdr:row>2</xdr:row>
      <xdr:rowOff>31320</xdr:rowOff>
    </xdr:from>
    <xdr:to>
      <xdr:col>1</xdr:col>
      <xdr:colOff>1076040</xdr:colOff>
      <xdr:row>2</xdr:row>
      <xdr:rowOff>685440</xdr:rowOff>
    </xdr:to>
    <xdr:pic>
      <xdr:nvPicPr>
        <xdr:cNvPr id="96" name="Рисунок 33" descr="Тэн-76.jpg"/>
        <xdr:cNvPicPr/>
      </xdr:nvPicPr>
      <xdr:blipFill>
        <a:blip xmlns:r="http://schemas.openxmlformats.org/officeDocument/2006/relationships" r:embed="rId8" cstate="print"/>
        <a:stretch/>
      </xdr:blipFill>
      <xdr:spPr>
        <a:xfrm>
          <a:off x="498600" y="612360"/>
          <a:ext cx="990360" cy="654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57240</xdr:colOff>
      <xdr:row>3</xdr:row>
      <xdr:rowOff>57240</xdr:rowOff>
    </xdr:from>
    <xdr:to>
      <xdr:col>1</xdr:col>
      <xdr:colOff>1056960</xdr:colOff>
      <xdr:row>3</xdr:row>
      <xdr:rowOff>752040</xdr:rowOff>
    </xdr:to>
    <xdr:pic>
      <xdr:nvPicPr>
        <xdr:cNvPr id="97" name="Рисунок 34" descr="Тэн-91.jpg"/>
        <xdr:cNvPicPr/>
      </xdr:nvPicPr>
      <xdr:blipFill>
        <a:blip xmlns:r="http://schemas.openxmlformats.org/officeDocument/2006/relationships" r:embed="rId9" cstate="print"/>
        <a:stretch/>
      </xdr:blipFill>
      <xdr:spPr>
        <a:xfrm>
          <a:off x="470160" y="1371600"/>
          <a:ext cx="999720" cy="69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95400</xdr:colOff>
      <xdr:row>4</xdr:row>
      <xdr:rowOff>28440</xdr:rowOff>
    </xdr:from>
    <xdr:to>
      <xdr:col>1</xdr:col>
      <xdr:colOff>1056960</xdr:colOff>
      <xdr:row>4</xdr:row>
      <xdr:rowOff>590040</xdr:rowOff>
    </xdr:to>
    <xdr:pic>
      <xdr:nvPicPr>
        <xdr:cNvPr id="98" name="Рисунок 35" descr="Тэн-107.jpg"/>
        <xdr:cNvPicPr/>
      </xdr:nvPicPr>
      <xdr:blipFill>
        <a:blip xmlns:r="http://schemas.openxmlformats.org/officeDocument/2006/relationships" r:embed="rId10" cstate="print"/>
        <a:stretch/>
      </xdr:blipFill>
      <xdr:spPr>
        <a:xfrm>
          <a:off x="508320" y="2114280"/>
          <a:ext cx="961560" cy="561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5</xdr:row>
      <xdr:rowOff>47520</xdr:rowOff>
    </xdr:from>
    <xdr:to>
      <xdr:col>1</xdr:col>
      <xdr:colOff>1076040</xdr:colOff>
      <xdr:row>5</xdr:row>
      <xdr:rowOff>656640</xdr:rowOff>
    </xdr:to>
    <xdr:pic>
      <xdr:nvPicPr>
        <xdr:cNvPr id="99" name="Рисунок 36" descr="Датчик КНЭ.jpg"/>
        <xdr:cNvPicPr/>
      </xdr:nvPicPr>
      <xdr:blipFill>
        <a:blip xmlns:r="http://schemas.openxmlformats.org/officeDocument/2006/relationships" r:embed="rId11" cstate="print"/>
        <a:stretch/>
      </xdr:blipFill>
      <xdr:spPr>
        <a:xfrm>
          <a:off x="489240" y="2752560"/>
          <a:ext cx="999720" cy="609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152280</xdr:colOff>
      <xdr:row>6</xdr:row>
      <xdr:rowOff>9360</xdr:rowOff>
    </xdr:from>
    <xdr:to>
      <xdr:col>1</xdr:col>
      <xdr:colOff>980640</xdr:colOff>
      <xdr:row>6</xdr:row>
      <xdr:rowOff>370800</xdr:rowOff>
    </xdr:to>
    <xdr:pic>
      <xdr:nvPicPr>
        <xdr:cNvPr id="100" name="Рисунок 37" descr="Датчик КНА.png"/>
        <xdr:cNvPicPr/>
      </xdr:nvPicPr>
      <xdr:blipFill>
        <a:blip xmlns:r="http://schemas.openxmlformats.org/officeDocument/2006/relationships" r:embed="rId12" cstate="print"/>
        <a:stretch/>
      </xdr:blipFill>
      <xdr:spPr>
        <a:xfrm>
          <a:off x="565200" y="3438360"/>
          <a:ext cx="828360" cy="361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7</xdr:row>
      <xdr:rowOff>34560</xdr:rowOff>
    </xdr:from>
    <xdr:to>
      <xdr:col>1</xdr:col>
      <xdr:colOff>1085760</xdr:colOff>
      <xdr:row>7</xdr:row>
      <xdr:rowOff>523440</xdr:rowOff>
    </xdr:to>
    <xdr:pic>
      <xdr:nvPicPr>
        <xdr:cNvPr id="101" name="Рисунок 38" descr="Датчик КНА старого образца.jpg"/>
        <xdr:cNvPicPr/>
      </xdr:nvPicPr>
      <xdr:blipFill>
        <a:blip xmlns:r="http://schemas.openxmlformats.org/officeDocument/2006/relationships" r:embed="rId13" cstate="print"/>
        <a:stretch/>
      </xdr:blipFill>
      <xdr:spPr>
        <a:xfrm>
          <a:off x="489240" y="3873240"/>
          <a:ext cx="1009440" cy="488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19080</xdr:colOff>
      <xdr:row>8</xdr:row>
      <xdr:rowOff>47520</xdr:rowOff>
    </xdr:from>
    <xdr:to>
      <xdr:col>1</xdr:col>
      <xdr:colOff>1123560</xdr:colOff>
      <xdr:row>8</xdr:row>
      <xdr:rowOff>542520</xdr:rowOff>
    </xdr:to>
    <xdr:pic>
      <xdr:nvPicPr>
        <xdr:cNvPr id="102" name="Рисунок 39" descr="Датчик КНА в сборе .jpg"/>
        <xdr:cNvPicPr/>
      </xdr:nvPicPr>
      <xdr:blipFill>
        <a:blip xmlns:r="http://schemas.openxmlformats.org/officeDocument/2006/relationships" r:embed="rId14" cstate="print"/>
        <a:stretch/>
      </xdr:blipFill>
      <xdr:spPr>
        <a:xfrm>
          <a:off x="432000" y="4467240"/>
          <a:ext cx="1104480" cy="49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47520</xdr:colOff>
      <xdr:row>9</xdr:row>
      <xdr:rowOff>7920</xdr:rowOff>
    </xdr:from>
    <xdr:to>
      <xdr:col>1</xdr:col>
      <xdr:colOff>1132920</xdr:colOff>
      <xdr:row>9</xdr:row>
      <xdr:rowOff>475920</xdr:rowOff>
    </xdr:to>
    <xdr:pic>
      <xdr:nvPicPr>
        <xdr:cNvPr id="103" name="Рисунок 40" descr="Датчик уровня КНА.jpg"/>
        <xdr:cNvPicPr/>
      </xdr:nvPicPr>
      <xdr:blipFill>
        <a:blip xmlns:r="http://schemas.openxmlformats.org/officeDocument/2006/relationships" r:embed="rId15" cstate="print"/>
        <a:stretch/>
      </xdr:blipFill>
      <xdr:spPr>
        <a:xfrm>
          <a:off x="460440" y="5008680"/>
          <a:ext cx="1085400" cy="468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47520</xdr:colOff>
      <xdr:row>10</xdr:row>
      <xdr:rowOff>57240</xdr:rowOff>
    </xdr:from>
    <xdr:to>
      <xdr:col>1</xdr:col>
      <xdr:colOff>1113840</xdr:colOff>
      <xdr:row>10</xdr:row>
      <xdr:rowOff>752040</xdr:rowOff>
    </xdr:to>
    <xdr:pic>
      <xdr:nvPicPr>
        <xdr:cNvPr id="104" name="Рисунок 41" descr="Автоматика КНЭ.jpg"/>
        <xdr:cNvPicPr/>
      </xdr:nvPicPr>
      <xdr:blipFill>
        <a:blip xmlns:r="http://schemas.openxmlformats.org/officeDocument/2006/relationships" r:embed="rId16" cstate="print"/>
        <a:stretch/>
      </xdr:blipFill>
      <xdr:spPr>
        <a:xfrm>
          <a:off x="460440" y="5553000"/>
          <a:ext cx="1066320" cy="69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38160</xdr:colOff>
      <xdr:row>11</xdr:row>
      <xdr:rowOff>54000</xdr:rowOff>
    </xdr:from>
    <xdr:to>
      <xdr:col>1</xdr:col>
      <xdr:colOff>1085400</xdr:colOff>
      <xdr:row>11</xdr:row>
      <xdr:rowOff>799560</xdr:rowOff>
    </xdr:to>
    <xdr:pic>
      <xdr:nvPicPr>
        <xdr:cNvPr id="105" name="Рисунок 42" descr="Автоматика КНА.jpg"/>
        <xdr:cNvPicPr/>
      </xdr:nvPicPr>
      <xdr:blipFill>
        <a:blip xmlns:r="http://schemas.openxmlformats.org/officeDocument/2006/relationships" r:embed="rId17" cstate="print"/>
        <a:stretch/>
      </xdr:blipFill>
      <xdr:spPr>
        <a:xfrm>
          <a:off x="451080" y="6369120"/>
          <a:ext cx="1047240" cy="745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57240</xdr:colOff>
      <xdr:row>12</xdr:row>
      <xdr:rowOff>9360</xdr:rowOff>
    </xdr:from>
    <xdr:to>
      <xdr:col>1</xdr:col>
      <xdr:colOff>1104480</xdr:colOff>
      <xdr:row>12</xdr:row>
      <xdr:rowOff>723240</xdr:rowOff>
    </xdr:to>
    <xdr:pic>
      <xdr:nvPicPr>
        <xdr:cNvPr id="106" name="Рисунок 43" descr="Поплавок КНЭ.jpg"/>
        <xdr:cNvPicPr/>
      </xdr:nvPicPr>
      <xdr:blipFill>
        <a:blip xmlns:r="http://schemas.openxmlformats.org/officeDocument/2006/relationships" r:embed="rId18" cstate="print"/>
        <a:stretch/>
      </xdr:blipFill>
      <xdr:spPr>
        <a:xfrm>
          <a:off x="470160" y="7172280"/>
          <a:ext cx="104724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66600</xdr:colOff>
      <xdr:row>23</xdr:row>
      <xdr:rowOff>38160</xdr:rowOff>
    </xdr:from>
    <xdr:to>
      <xdr:col>1</xdr:col>
      <xdr:colOff>1028160</xdr:colOff>
      <xdr:row>23</xdr:row>
      <xdr:rowOff>866520</xdr:rowOff>
    </xdr:to>
    <xdr:pic>
      <xdr:nvPicPr>
        <xdr:cNvPr id="107" name="Рисунок 44" descr="Кран для БП.jpg"/>
        <xdr:cNvPicPr/>
      </xdr:nvPicPr>
      <xdr:blipFill>
        <a:blip xmlns:r="http://schemas.openxmlformats.org/officeDocument/2006/relationships" r:embed="rId19" cstate="print"/>
        <a:stretch/>
      </xdr:blipFill>
      <xdr:spPr>
        <a:xfrm>
          <a:off x="479520" y="16411680"/>
          <a:ext cx="961560" cy="828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24</xdr:row>
      <xdr:rowOff>19080</xdr:rowOff>
    </xdr:from>
    <xdr:to>
      <xdr:col>1</xdr:col>
      <xdr:colOff>1076040</xdr:colOff>
      <xdr:row>24</xdr:row>
      <xdr:rowOff>912960</xdr:rowOff>
    </xdr:to>
    <xdr:pic>
      <xdr:nvPicPr>
        <xdr:cNvPr id="108" name="Рисунок 45" descr="Кран для КНЭ.jpg"/>
        <xdr:cNvPicPr/>
      </xdr:nvPicPr>
      <xdr:blipFill>
        <a:blip xmlns:r="http://schemas.openxmlformats.org/officeDocument/2006/relationships" r:embed="rId20" cstate="print"/>
        <a:stretch/>
      </xdr:blipFill>
      <xdr:spPr>
        <a:xfrm>
          <a:off x="489240" y="17316360"/>
          <a:ext cx="999720" cy="893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85680</xdr:colOff>
      <xdr:row>1</xdr:row>
      <xdr:rowOff>0</xdr:rowOff>
    </xdr:from>
    <xdr:to>
      <xdr:col>2</xdr:col>
      <xdr:colOff>1104480</xdr:colOff>
      <xdr:row>2</xdr:row>
      <xdr:rowOff>7200</xdr:rowOff>
    </xdr:to>
    <xdr:pic>
      <xdr:nvPicPr>
        <xdr:cNvPr id="109" name="Рисунок 8" descr="К-20 (1).pn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505520" y="390600"/>
          <a:ext cx="1018800" cy="1302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76320</xdr:colOff>
      <xdr:row>2</xdr:row>
      <xdr:rowOff>0</xdr:rowOff>
    </xdr:from>
    <xdr:to>
      <xdr:col>2</xdr:col>
      <xdr:colOff>1056960</xdr:colOff>
      <xdr:row>2</xdr:row>
      <xdr:rowOff>1253880</xdr:rowOff>
    </xdr:to>
    <xdr:pic>
      <xdr:nvPicPr>
        <xdr:cNvPr id="110" name="Рисунок 9" descr="К-20 (1).png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496160" y="1685880"/>
          <a:ext cx="980640" cy="125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38160</xdr:colOff>
      <xdr:row>2</xdr:row>
      <xdr:rowOff>1285920</xdr:rowOff>
    </xdr:from>
    <xdr:to>
      <xdr:col>2</xdr:col>
      <xdr:colOff>1076040</xdr:colOff>
      <xdr:row>4</xdr:row>
      <xdr:rowOff>7920</xdr:rowOff>
    </xdr:to>
    <xdr:pic>
      <xdr:nvPicPr>
        <xdr:cNvPr id="111" name="Рисунок 10" descr="Кн-20 (1).pn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1458000" y="2971800"/>
          <a:ext cx="1037880" cy="131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1037880</xdr:colOff>
      <xdr:row>5</xdr:row>
      <xdr:rowOff>17640</xdr:rowOff>
    </xdr:to>
    <xdr:pic>
      <xdr:nvPicPr>
        <xdr:cNvPr id="112" name="Рисунок 11" descr="Кн-20 (1).pn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1419840" y="4276800"/>
          <a:ext cx="1037880" cy="131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1037880</xdr:colOff>
      <xdr:row>6</xdr:row>
      <xdr:rowOff>17640</xdr:rowOff>
    </xdr:to>
    <xdr:pic>
      <xdr:nvPicPr>
        <xdr:cNvPr id="113" name="Рисунок 12" descr="Кн-20 (1).pn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1419840" y="5572080"/>
          <a:ext cx="1037880" cy="131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1037880</xdr:colOff>
      <xdr:row>7</xdr:row>
      <xdr:rowOff>17280</xdr:rowOff>
    </xdr:to>
    <xdr:pic>
      <xdr:nvPicPr>
        <xdr:cNvPr id="114" name="Рисунок 13" descr="Кн-20 (1).pn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1419840" y="6867360"/>
          <a:ext cx="1037880" cy="131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1037880</xdr:colOff>
      <xdr:row>8</xdr:row>
      <xdr:rowOff>17640</xdr:rowOff>
    </xdr:to>
    <xdr:pic>
      <xdr:nvPicPr>
        <xdr:cNvPr id="115" name="Рисунок 7" descr="Кн-20 (1).pn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1419840" y="8163000"/>
          <a:ext cx="1037880" cy="131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1037880</xdr:colOff>
      <xdr:row>9</xdr:row>
      <xdr:rowOff>17640</xdr:rowOff>
    </xdr:to>
    <xdr:pic>
      <xdr:nvPicPr>
        <xdr:cNvPr id="116" name="Рисунок 14" descr="Кн-20 (1).pn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1419840" y="9458280"/>
          <a:ext cx="1037880" cy="131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1037880</xdr:colOff>
      <xdr:row>9</xdr:row>
      <xdr:rowOff>17640</xdr:rowOff>
    </xdr:to>
    <xdr:pic>
      <xdr:nvPicPr>
        <xdr:cNvPr id="117" name="Рисунок 15" descr="Кн-20 (1).pn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1419840" y="9458280"/>
          <a:ext cx="1037880" cy="131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1037880</xdr:colOff>
      <xdr:row>10</xdr:row>
      <xdr:rowOff>17280</xdr:rowOff>
    </xdr:to>
    <xdr:pic>
      <xdr:nvPicPr>
        <xdr:cNvPr id="118" name="Рисунок 18" descr="Кн-20 (1).pn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1419840" y="10753560"/>
          <a:ext cx="1037880" cy="131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1037880</xdr:colOff>
      <xdr:row>11</xdr:row>
      <xdr:rowOff>17640</xdr:rowOff>
    </xdr:to>
    <xdr:pic>
      <xdr:nvPicPr>
        <xdr:cNvPr id="119" name="Рисунок 19" descr="Кн-20 (1).pn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1419840" y="12049200"/>
          <a:ext cx="1037880" cy="13129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142920</xdr:rowOff>
    </xdr:from>
    <xdr:to>
      <xdr:col>1</xdr:col>
      <xdr:colOff>1083240</xdr:colOff>
      <xdr:row>9</xdr:row>
      <xdr:rowOff>161640</xdr:rowOff>
    </xdr:to>
    <xdr:pic>
      <xdr:nvPicPr>
        <xdr:cNvPr id="120" name="Рисунок 3" descr="03.pn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12920" y="743040"/>
          <a:ext cx="1083240" cy="1218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Таблица1" displayName="Таблица1" ref="H11:N19" totalsRowShown="0">
  <autoFilter ref="H11:N19"/>
  <tableColumns count="7">
    <tableColumn id="1" name="№ п/п"/>
    <tableColumn id="2" name="Наименование изделия"/>
    <tableColumn id="3" name="Длина"/>
    <tableColumn id="4" name="Ширина"/>
    <tableColumn id="5" name="Высота"/>
    <tableColumn id="6" name="Объем"/>
    <tableColumn id="7" name="Вес 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4" name="Таблица1515" displayName="Таблица1515" ref="H23:M29" totalsRowShown="0">
  <autoFilter ref="H23:M29"/>
  <tableColumns count="6">
    <tableColumn id="1" name="№ п/п"/>
    <tableColumn id="2" name="Наименование изделия"/>
    <tableColumn id="3" name="Длина"/>
    <tableColumn id="4" name="Ширина"/>
    <tableColumn id="5" name="Высота"/>
    <tableColumn id="6" name="Вес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12" name="Таблица1610" displayName="Таблица1610" ref="H2:I8" totalsRowShown="0">
  <autoFilter ref="H2:I8"/>
  <tableColumns count="2">
    <tableColumn id="1" name="Сумма"/>
    <tableColumn id="2" name="Скидка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3" name="Таблица15" displayName="Таблица15" ref="H21:M27" totalsRowShown="0">
  <autoFilter ref="H21:M27"/>
  <tableColumns count="6">
    <tableColumn id="1" name="№ п/п"/>
    <tableColumn id="2" name="Наименование"/>
    <tableColumn id="3" name="Длина"/>
    <tableColumn id="4" name="Ширина"/>
    <tableColumn id="5" name="Высота"/>
    <tableColumn id="6" name="Вес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11" name="Таблица16" displayName="Таблица16" ref="H2:I8" totalsRowShown="0">
  <autoFilter ref="H2:I8"/>
  <tableColumns count="2">
    <tableColumn id="1" name="Сумма"/>
    <tableColumn id="2" name="Скидка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Таблица1519" displayName="Таблица1519" ref="H22:M28" totalsRowShown="0">
  <autoFilter ref="H22:M28"/>
  <tableColumns count="6">
    <tableColumn id="1" name="№ п/п"/>
    <tableColumn id="2" name="Наименование"/>
    <tableColumn id="3" name="Длина"/>
    <tableColumn id="4" name="Ширина"/>
    <tableColumn id="5" name="Высота"/>
    <tableColumn id="6" name="Вес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14" name="Таблица168" displayName="Таблица168" ref="H2:I8" totalsRowShown="0">
  <autoFilter ref="H2:I8"/>
  <tableColumns count="2">
    <tableColumn id="1" name="Сумма"/>
    <tableColumn id="2" name="Скидка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Таблица151921" displayName="Таблица151921" ref="H49:M52" totalsRowShown="0">
  <autoFilter ref="H49:M52"/>
  <tableColumns count="6">
    <tableColumn id="1" name="№ п/п"/>
    <tableColumn id="2" name="Наименование"/>
    <tableColumn id="3" name="Длина"/>
    <tableColumn id="4" name="Ширина"/>
    <tableColumn id="5" name="Высота"/>
    <tableColumn id="6" name="Вес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10" name="Таблица1520" displayName="Таблица1520" ref="H18:M21" totalsRowShown="0">
  <autoFilter ref="H18:M21"/>
  <tableColumns count="6">
    <tableColumn id="1" name="№ п/п"/>
    <tableColumn id="2" name="Наименование"/>
    <tableColumn id="3" name="Длина"/>
    <tableColumn id="4" name="Ширина"/>
    <tableColumn id="5" name="Высота"/>
    <tableColumn id="6" name="Вес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3" name="Таблица163" displayName="Таблица163" ref="H2:I8" totalsRowShown="0">
  <autoFilter ref="H2:I8"/>
  <tableColumns count="2">
    <tableColumn id="1" name="Сумма"/>
    <tableColumn id="2" name="Скидка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2" name="Таблица14" displayName="Таблица14" ref="H2:I8" totalsRowShown="0">
  <autoFilter ref="H2:I8"/>
  <tableColumns count="2">
    <tableColumn id="1" name="Сумма"/>
    <tableColumn id="2" name="Скидка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9" name="Таблица15192127" displayName="Таблица15192127" ref="H16:M18" totalsRowShown="0">
  <autoFilter ref="H16:M18"/>
  <tableColumns count="6">
    <tableColumn id="1" name="№ п/п"/>
    <tableColumn id="2" name="Наименование"/>
    <tableColumn id="3" name="Длина"/>
    <tableColumn id="4" name="Ширина"/>
    <tableColumn id="5" name="Высота"/>
    <tableColumn id="6" name="Вес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6" name="Таблица1518" displayName="Таблица1518" ref="H23:M29" totalsRowShown="0">
  <autoFilter ref="H23:M29"/>
  <tableColumns count="6">
    <tableColumn id="1" name="№ п/п"/>
    <tableColumn id="2" name="Наименование"/>
    <tableColumn id="3" name="Длина"/>
    <tableColumn id="4" name="Ширина"/>
    <tableColumn id="5" name="Высота"/>
    <tableColumn id="6" name="Вес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5" name="Таблица17" displayName="Таблица17" ref="H2:I8" totalsRowShown="0">
  <autoFilter ref="H2:I8"/>
  <tableColumns count="2">
    <tableColumn id="1" name="Сумма"/>
    <tableColumn id="2" name="Скидка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22" name="Таблица3" displayName="Таблица3" ref="H10:N19" totalsRowShown="0">
  <autoFilter ref="H10:N19"/>
  <tableColumns count="7">
    <tableColumn id="1" name="№ п/п"/>
    <tableColumn id="2" name="Наименование"/>
    <tableColumn id="3" name="Длина"/>
    <tableColumn id="4" name="Ширина"/>
    <tableColumn id="5" name="Высота"/>
    <tableColumn id="6" name="Объем"/>
    <tableColumn id="7" name="Вес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id="5" name="Таблица151517" displayName="Таблица151517" ref="H26:M32" totalsRowShown="0">
  <autoFilter ref="H26:M32"/>
  <tableColumns count="6">
    <tableColumn id="1" name="№ п/п"/>
    <tableColumn id="2" name="Наименование"/>
    <tableColumn id="3" name="Длина"/>
    <tableColumn id="4" name="Ширина"/>
    <tableColumn id="5" name="Высота"/>
    <tableColumn id="6" name="Вес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id="16" name="Таблица1712" displayName="Таблица1712" ref="H2:I8" totalsRowShown="0">
  <autoFilter ref="H2:I8"/>
  <tableColumns count="2">
    <tableColumn id="1" name="Сумма"/>
    <tableColumn id="2" name="Скидка"/>
  </tableColumns>
  <tableStyleInfo name="TableStyleMedium9" showFirstColumn="0" showLastColumn="0" showRowStripes="1" showColumnStripes="0"/>
</table>
</file>

<file path=xl/tables/table18.xml><?xml version="1.0" encoding="utf-8"?>
<table xmlns="http://schemas.openxmlformats.org/spreadsheetml/2006/main" id="23" name="Таблица8" displayName="Таблица8" ref="H10:N17" totalsRowShown="0">
  <autoFilter ref="H10:N17"/>
  <tableColumns count="7">
    <tableColumn id="1" name="№ п/п"/>
    <tableColumn id="2" name="Наименование"/>
    <tableColumn id="3" name="Длина"/>
    <tableColumn id="4" name="Ширина"/>
    <tableColumn id="5" name="Высота"/>
    <tableColumn id="6" name="Объем"/>
    <tableColumn id="7" name="Вес"/>
  </tableColumns>
  <tableStyleInfo name="TableStyleMedium9" showFirstColumn="0" showLastColumn="0" showRowStripes="1" showColumnStripes="0"/>
</table>
</file>

<file path=xl/tables/table19.xml><?xml version="1.0" encoding="utf-8"?>
<table xmlns="http://schemas.openxmlformats.org/spreadsheetml/2006/main" id="17" name="Таблица171213" displayName="Таблица171213" ref="H2:I8" totalsRowShown="0">
  <autoFilter ref="H2:I8"/>
  <tableColumns count="2">
    <tableColumn id="1" name="Сумма"/>
    <tableColumn id="2" name="Скидка"/>
  </tableColumns>
  <tableStyleInfo name="TableStyleMedium9" showFirstColumn="0" showLastColumn="0" showRowStripes="1" showColumnStripes="0"/>
</table>
</file>

<file path=xl/tables/table20.xml><?xml version="1.0" encoding="utf-8"?>
<table xmlns="http://schemas.openxmlformats.org/spreadsheetml/2006/main" id="18" name="Таблица17121314" displayName="Таблица17121314" ref="H2:I8" totalsRowShown="0">
  <autoFilter ref="H2:I8"/>
  <tableColumns count="2">
    <tableColumn id="1" name="Сумма"/>
    <tableColumn id="2" name="Скидка"/>
  </tableColumns>
  <tableStyleInfo name="TableStyleMedium9" showFirstColumn="0" showLastColumn="0" showRowStripes="1" showColumnStripes="0"/>
</table>
</file>

<file path=xl/tables/table21.xml><?xml version="1.0" encoding="utf-8"?>
<table xmlns="http://schemas.openxmlformats.org/spreadsheetml/2006/main" id="19" name="Таблица1712131415" displayName="Таблица1712131415" ref="H2:I8" totalsRowShown="0">
  <autoFilter ref="H2:I8"/>
  <tableColumns count="2">
    <tableColumn id="1" name="Сумма"/>
    <tableColumn id="2" name="Скидка"/>
  </tableColumns>
  <tableStyleInfo name="TableStyleMedium9" showFirstColumn="0" showLastColumn="0" showRowStripes="1" showColumnStripes="0"/>
</table>
</file>

<file path=xl/tables/table22.xml><?xml version="1.0" encoding="utf-8"?>
<table xmlns="http://schemas.openxmlformats.org/spreadsheetml/2006/main" id="20" name="Таблица171213141516" displayName="Таблица171213141516" ref="H2:I8" totalsRowShown="0">
  <autoFilter ref="H2:I8"/>
  <tableColumns count="2">
    <tableColumn id="1" name="Сумма"/>
    <tableColumn id="2" name="Скидка"/>
  </tableColumns>
  <tableStyleInfo name="TableStyleMedium9" showFirstColumn="0" showLastColumn="0" showRowStripes="1" showColumnStripes="0"/>
</table>
</file>

<file path=xl/tables/table23.xml><?xml version="1.0" encoding="utf-8"?>
<table xmlns="http://schemas.openxmlformats.org/spreadsheetml/2006/main" id="21" name="Таблица17121319" displayName="Таблица17121319" ref="H2:I8" totalsRowShown="0">
  <autoFilter ref="H2:I8"/>
  <tableColumns count="2">
    <tableColumn id="1" name="Сумма"/>
    <tableColumn id="2" name="Скидка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.me/kaskad174" TargetMode="External"/><Relationship Id="rId3" Type="http://schemas.openxmlformats.org/officeDocument/2006/relationships/hyperlink" Target="mailto:kaskadtermos@list.ru" TargetMode="External"/><Relationship Id="rId7" Type="http://schemas.openxmlformats.org/officeDocument/2006/relationships/hyperlink" Target="http://max.ru/u/f9LHodD0cOJjxUFb45V-EcgaNFAGTfCZIKeWdBsIgXdpJizQHKWDnYwtquc" TargetMode="External"/><Relationship Id="rId2" Type="http://schemas.openxmlformats.org/officeDocument/2006/relationships/hyperlink" Target="mailto:info@kne.su" TargetMode="External"/><Relationship Id="rId1" Type="http://schemas.openxmlformats.org/officeDocument/2006/relationships/hyperlink" Target="https://kne.su/" TargetMode="External"/><Relationship Id="rId6" Type="http://schemas.openxmlformats.org/officeDocument/2006/relationships/hyperlink" Target="https://t.me/kaskad74" TargetMode="External"/><Relationship Id="rId5" Type="http://schemas.openxmlformats.org/officeDocument/2006/relationships/hyperlink" Target="https://wa.me/79525103856" TargetMode="External"/><Relationship Id="rId4" Type="http://schemas.openxmlformats.org/officeDocument/2006/relationships/hyperlink" Target="mailto:kaskadtermos@mail.ru" TargetMode="External"/><Relationship Id="rId9" Type="http://schemas.openxmlformats.org/officeDocument/2006/relationships/hyperlink" Target="https://vk.ru/kne_s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kne.su/kipyatilnik-kna/kipyatilnik-nalivnoy-avtomaticheskiy-kna-25-25-litrov" TargetMode="External"/><Relationship Id="rId13" Type="http://schemas.openxmlformats.org/officeDocument/2006/relationships/table" Target="../tables/table1.xml"/><Relationship Id="rId3" Type="http://schemas.openxmlformats.org/officeDocument/2006/relationships/hyperlink" Target="https://kne.su/kipyatilnik-kne/kipyatilnik-elektricheskiy-nepreryivnogo-deystviya-kne-25" TargetMode="External"/><Relationship Id="rId7" Type="http://schemas.openxmlformats.org/officeDocument/2006/relationships/hyperlink" Target="https://kne.su/kipyatilnik-kna/kipyatilnik-nalivnoy-avtomaticheskiy-kna-15-15-litrov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kne.su/kipyatilnik-kne/kipyatilnik-elektricheskiy-nepreryivnogo-deystviya-kne-50-100-b" TargetMode="External"/><Relationship Id="rId1" Type="http://schemas.openxmlformats.org/officeDocument/2006/relationships/hyperlink" Target="https://kne.su/kipyatilnik-kne/kipyatilnik-elektricheskiy-nepreryivnogo-deystviya-kne-50-100" TargetMode="External"/><Relationship Id="rId6" Type="http://schemas.openxmlformats.org/officeDocument/2006/relationships/hyperlink" Target="https://kne.su/kipyatilnik-kna/kipyatilnik-nalivnoy-avtomaticheskiy-kna-10-10-litrov" TargetMode="External"/><Relationship Id="rId11" Type="http://schemas.openxmlformats.org/officeDocument/2006/relationships/hyperlink" Target="https://kne.su/product/item/podstavka-pod-kipyatilniki-baki-i-t-d" TargetMode="External"/><Relationship Id="rId5" Type="http://schemas.openxmlformats.org/officeDocument/2006/relationships/hyperlink" Target="https://kne.su/kipyatilnik-kna/kipyatilnik-nalivnoy-avtomaticheskiy-kna-6-6-litrov" TargetMode="External"/><Relationship Id="rId15" Type="http://schemas.openxmlformats.org/officeDocument/2006/relationships/table" Target="../tables/table3.xml"/><Relationship Id="rId10" Type="http://schemas.openxmlformats.org/officeDocument/2006/relationships/hyperlink" Target="https://kne.su/kipyatilnik-kna/kipyatilnik-nalivnoy-avtomaticheskiy-kna-60-60-litrov" TargetMode="External"/><Relationship Id="rId4" Type="http://schemas.openxmlformats.org/officeDocument/2006/relationships/hyperlink" Target="https://kne.su/product/kipyatilnik-kna" TargetMode="External"/><Relationship Id="rId9" Type="http://schemas.openxmlformats.org/officeDocument/2006/relationships/hyperlink" Target="https://kne.su/kipyatilnik-kna/kipyatilnik-nalivnoy-avtomaticheskiy-kna-40-40-litrov" TargetMode="External"/><Relationship Id="rId1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kne.su/termos-armeyskiy/termos-tg-36-36-litrov-emalirovannyiy-s-nerzhaveyuschey-emkostyu-i-bokovyimi-ruchkami" TargetMode="External"/><Relationship Id="rId3" Type="http://schemas.openxmlformats.org/officeDocument/2006/relationships/hyperlink" Target="https://kne.su/termos-armeyskiy/termos-tg-9-9-litrov-emalirovannyiy-s-nerzhaveyuschey-emkostyu-bez-bokovyih-ruchek" TargetMode="External"/><Relationship Id="rId7" Type="http://schemas.openxmlformats.org/officeDocument/2006/relationships/hyperlink" Target="https://kne.su/product/termos-armeyskiy" TargetMode="External"/><Relationship Id="rId2" Type="http://schemas.openxmlformats.org/officeDocument/2006/relationships/hyperlink" Target="https://kne.su/termos-armeyskiy/termos-tg-6-6-litrov-emalirovannyiy-s-nerzhaveyuschey-emkostyu-bez-bokovyih-ruchek" TargetMode="External"/><Relationship Id="rId1" Type="http://schemas.openxmlformats.org/officeDocument/2006/relationships/hyperlink" Target="https://kne.su/termos-armeyskiy/termos-tg-4-4-litra-emalirovannyiy-s-nerzhaveyuschey-emkostyu-bez-bokovyih-ruchek" TargetMode="External"/><Relationship Id="rId6" Type="http://schemas.openxmlformats.org/officeDocument/2006/relationships/hyperlink" Target="https://kne.su/termos-armeyskiy/termos-tg-18-18-litrov-emalirovannyiy-s-nerzhaveyuschey-emkostyu-i-bokovyimi-ruchkami" TargetMode="External"/><Relationship Id="rId11" Type="http://schemas.openxmlformats.org/officeDocument/2006/relationships/table" Target="../tables/table5.xml"/><Relationship Id="rId5" Type="http://schemas.openxmlformats.org/officeDocument/2006/relationships/hyperlink" Target="https://kne.su/termos-armeyskiy/termos-tg-12-12-litrov-emalirovannyiy-s-nerzhaveyuschey-emkostyu-i-bokovyimi-ruchkami" TargetMode="External"/><Relationship Id="rId10" Type="http://schemas.openxmlformats.org/officeDocument/2006/relationships/table" Target="../tables/table4.xml"/><Relationship Id="rId4" Type="http://schemas.openxmlformats.org/officeDocument/2006/relationships/hyperlink" Target="https://kne.su/termos-armeyskiy/termos-tg-12-12-litrov-emalirovannyiy-s-nerzhaveyuschey-emkostyu-bez-bokovyih-ruchek" TargetMode="External"/><Relationship Id="rId9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kne.su/termosyi-armeyskie-polnostyu-nerzhaveyuschie/termos-tgn-36-36-litrov-polnostyu-nerzhaveyuschiy-s-bokovyimi-ruchkami" TargetMode="External"/><Relationship Id="rId3" Type="http://schemas.openxmlformats.org/officeDocument/2006/relationships/hyperlink" Target="https://kne.su/termosyi-armeyskie-polnostyu-nerzhaveyuschie/termos-tgn-9-9-litrov-polnostyu-nerzhaveyuschiy-bez-bokovyih-ruchek" TargetMode="External"/><Relationship Id="rId7" Type="http://schemas.openxmlformats.org/officeDocument/2006/relationships/hyperlink" Target="https://kne.su/product/termosyi-armeyskie-polnostyu-nerzhaveyuschie" TargetMode="External"/><Relationship Id="rId2" Type="http://schemas.openxmlformats.org/officeDocument/2006/relationships/hyperlink" Target="https://kne.su/termosyi-armeyskie-polnostyu-nerzhaveyuschie/tg-6-nerzhaveyuschiy" TargetMode="External"/><Relationship Id="rId1" Type="http://schemas.openxmlformats.org/officeDocument/2006/relationships/hyperlink" Target="https://kne.su/termosyi-armeyskie-polnostyu-nerzhaveyuschie/termos-tgn-4-4-litra-polnostyu-nerzhaveyuschiy-bez-bokovyih-ruchek" TargetMode="External"/><Relationship Id="rId6" Type="http://schemas.openxmlformats.org/officeDocument/2006/relationships/hyperlink" Target="https://kne.su/termosyi-armeyskie-polnostyu-nerzhaveyuschie/termos-tgn-18-18-litrov-polnostyu-nerzhaveyuschiy-s-bokovyimi-ruchkami" TargetMode="External"/><Relationship Id="rId11" Type="http://schemas.openxmlformats.org/officeDocument/2006/relationships/table" Target="../tables/table7.xml"/><Relationship Id="rId5" Type="http://schemas.openxmlformats.org/officeDocument/2006/relationships/hyperlink" Target="https://kne.su/termosyi-armeyskie-polnostyu-nerzhaveyuschie/tg-12-nerzhaveyuschiy-1" TargetMode="External"/><Relationship Id="rId10" Type="http://schemas.openxmlformats.org/officeDocument/2006/relationships/table" Target="../tables/table6.xml"/><Relationship Id="rId4" Type="http://schemas.openxmlformats.org/officeDocument/2006/relationships/hyperlink" Target="https://kne.su/termosyi-armeyskie-polnostyu-nerzhaveyuschie/termos-tgn-12-12-litrov-polnostyu-nerzhaveyuschiy-bez-bokovyih-ruchek" TargetMode="External"/><Relationship Id="rId9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kne.su/termosyi-armeyskie-s-kranom/termos-nerzhaveyuschiy-s-kranom-tgn-18-18-litrov" TargetMode="External"/><Relationship Id="rId13" Type="http://schemas.openxmlformats.org/officeDocument/2006/relationships/table" Target="../tables/table9.xml"/><Relationship Id="rId3" Type="http://schemas.openxmlformats.org/officeDocument/2006/relationships/hyperlink" Target="https://kne.su/termosyi-armeyskie-s-kranom/termos-s-kranom-tg-18-18-litrov" TargetMode="External"/><Relationship Id="rId7" Type="http://schemas.openxmlformats.org/officeDocument/2006/relationships/hyperlink" Target="https://kne.su/termosyi-armeyskie-s-kranom/termos-nerzhaveyuschiy-s-bokovyimi-ruchkami-i-kranom-tgn-12-12-litrov" TargetMode="External"/><Relationship Id="rId12" Type="http://schemas.openxmlformats.org/officeDocument/2006/relationships/table" Target="../tables/table8.xml"/><Relationship Id="rId2" Type="http://schemas.openxmlformats.org/officeDocument/2006/relationships/hyperlink" Target="https://kne.su/termosyi-armeyskie-s-kranom/termos-s-kranom-i-bokovyimi-ruchkami-tg-12-12-litrov" TargetMode="External"/><Relationship Id="rId1" Type="http://schemas.openxmlformats.org/officeDocument/2006/relationships/hyperlink" Target="https://kne.su/termosyi-armeyskie-s-kranom/termos-s-kranom-tg-12-12-litrov" TargetMode="External"/><Relationship Id="rId6" Type="http://schemas.openxmlformats.org/officeDocument/2006/relationships/hyperlink" Target="https://kne.su/termosyi-armeyskie-s-kranom/termos-nerzhaveyuschiy-s-kranom-tgn-12-12-litrov" TargetMode="External"/><Relationship Id="rId11" Type="http://schemas.openxmlformats.org/officeDocument/2006/relationships/drawing" Target="../drawings/drawing4.xml"/><Relationship Id="rId5" Type="http://schemas.openxmlformats.org/officeDocument/2006/relationships/hyperlink" Target="https://kne.su/termosyi-armeyskie-s-kranom/termos-s-kranom-tg-36-36-litrov" TargetMode="External"/><Relationship Id="rId10" Type="http://schemas.openxmlformats.org/officeDocument/2006/relationships/hyperlink" Target="https://kne.su/termosyi-armeyskie-s-kranom/termos-nerzhaveyuschiy-s-kranom-tgn-36" TargetMode="External"/><Relationship Id="rId4" Type="http://schemas.openxmlformats.org/officeDocument/2006/relationships/hyperlink" Target="https://kne.su/product/termosyi-armeyskie-s-kranom" TargetMode="External"/><Relationship Id="rId9" Type="http://schemas.openxmlformats.org/officeDocument/2006/relationships/hyperlink" Target="https://kne.su/product/termosyi-armeyskie-s-kranom" TargetMode="External"/><Relationship Id="rId14" Type="http://schemas.openxmlformats.org/officeDocument/2006/relationships/table" Target="../tables/table10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kne.su/bidon-pischevoy/bidon-bd-40-40-litrov-s-bokovyimi-ruchkami" TargetMode="External"/><Relationship Id="rId3" Type="http://schemas.openxmlformats.org/officeDocument/2006/relationships/hyperlink" Target="https://kne.su/bidon-pischevoy/bidon-bdn-12-12-litrov-s-bokovyimi-ruchkami" TargetMode="External"/><Relationship Id="rId7" Type="http://schemas.openxmlformats.org/officeDocument/2006/relationships/hyperlink" Target="https://kne.su/bidon-pischevoy/bidon-bd-25-25-litrov-s-bokovyimi-ruchkami" TargetMode="External"/><Relationship Id="rId12" Type="http://schemas.openxmlformats.org/officeDocument/2006/relationships/table" Target="../tables/table15.xml"/><Relationship Id="rId2" Type="http://schemas.openxmlformats.org/officeDocument/2006/relationships/hyperlink" Target="https://kne.su/bidon-pischevoy/bidon-bdn-9-9-litrov-bez-bokovyih-ruchek" TargetMode="External"/><Relationship Id="rId1" Type="http://schemas.openxmlformats.org/officeDocument/2006/relationships/hyperlink" Target="https://kne.su/bidon-pischevoy/bidon-bdn-6-6-litrov-bez-bokovyih-ruchek" TargetMode="External"/><Relationship Id="rId6" Type="http://schemas.openxmlformats.org/officeDocument/2006/relationships/hyperlink" Target="https://kne.su/bidon-pischevoy/bidon-bdn-40-40-litrov-s-bokovyimi-ruchkami" TargetMode="External"/><Relationship Id="rId11" Type="http://schemas.openxmlformats.org/officeDocument/2006/relationships/table" Target="../tables/table14.xml"/><Relationship Id="rId5" Type="http://schemas.openxmlformats.org/officeDocument/2006/relationships/hyperlink" Target="https://kne.su/bidon-pischevoy/bidon-bdn-24-24-litra-s-bokovyimi-ruchkami" TargetMode="External"/><Relationship Id="rId10" Type="http://schemas.openxmlformats.org/officeDocument/2006/relationships/table" Target="../tables/table13.xml"/><Relationship Id="rId4" Type="http://schemas.openxmlformats.org/officeDocument/2006/relationships/hyperlink" Target="https://kne.su/bidon-pischevoy/bidon-bdn-18-18-litrov-s-bokovyimi-ruchkami" TargetMode="External"/><Relationship Id="rId9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kne.su/product/item/bak-d-vodyi-bp-100-100-litrov-s-kranom" TargetMode="External"/><Relationship Id="rId13" Type="http://schemas.openxmlformats.org/officeDocument/2006/relationships/hyperlink" Target="https://kne.su/nerzhaveyuschie-baki-dlya-vodyi/bak-d-vodyi-bpn-25-25-litrov-s-kranom-na-rezinovyih-nozhkah-s-osnovaniem" TargetMode="External"/><Relationship Id="rId18" Type="http://schemas.openxmlformats.org/officeDocument/2006/relationships/table" Target="../tables/table17.xml"/><Relationship Id="rId3" Type="http://schemas.openxmlformats.org/officeDocument/2006/relationships/hyperlink" Target="https://kne.su/nerzhaveyuschie-baki-dlya-vodyi/bak-d-vodyi-bp-25-25-litrov-s-kranom" TargetMode="External"/><Relationship Id="rId7" Type="http://schemas.openxmlformats.org/officeDocument/2006/relationships/hyperlink" Target="https://kne.su/nerzhaveyuschie-baki-dlya-vodyi/bak-d-vodyi-bp-70-70-litrov-s-kranom" TargetMode="External"/><Relationship Id="rId12" Type="http://schemas.openxmlformats.org/officeDocument/2006/relationships/hyperlink" Target="https://kne.su/nerzhaveyuschie-baki-dlya-vodyi/bak-d-vodyi-bpn-15-15-litrov-s-kranom-na-rezinovyih-nozhkah-s-osnovaniem" TargetMode="External"/><Relationship Id="rId17" Type="http://schemas.openxmlformats.org/officeDocument/2006/relationships/table" Target="../tables/table16.xml"/><Relationship Id="rId2" Type="http://schemas.openxmlformats.org/officeDocument/2006/relationships/hyperlink" Target="https://kne.su/nerzhaveyuschie-baki-dlya-vodyi/bak-d-vodyi-bp-15-15-litrov-s-kranom" TargetMode="External"/><Relationship Id="rId16" Type="http://schemas.openxmlformats.org/officeDocument/2006/relationships/drawing" Target="../drawings/drawing7.xml"/><Relationship Id="rId1" Type="http://schemas.openxmlformats.org/officeDocument/2006/relationships/hyperlink" Target="https://kne.su/nerzhaveyuschie-baki-dlya-vodyi/bak-d-vodyi-bp-10-10-litrov-s-kranom" TargetMode="External"/><Relationship Id="rId6" Type="http://schemas.openxmlformats.org/officeDocument/2006/relationships/hyperlink" Target="https://kne.su/nerzhaveyuschie-baki-dlya-vodyi/bak-d-vodyi-bp-60-60-litrov-s-kranom" TargetMode="External"/><Relationship Id="rId11" Type="http://schemas.openxmlformats.org/officeDocument/2006/relationships/hyperlink" Target="https://kne.su/nerzhaveyuschie-baki-dlya-vodyi/bak-d-vodyi-bpn-10-10-litrov-s-kranom-na-rezinovyih-nozhkah-s-osnovaniem" TargetMode="External"/><Relationship Id="rId5" Type="http://schemas.openxmlformats.org/officeDocument/2006/relationships/hyperlink" Target="https://kne.su/nerzhaveyuschie-baki-dlya-vodyi/bak-d-vodyi-bp-40-40-litrov-s-kranom" TargetMode="External"/><Relationship Id="rId15" Type="http://schemas.openxmlformats.org/officeDocument/2006/relationships/hyperlink" Target="https://kne.su/nerzhaveyuschie-baki-dlya-vodyi/bak-d-vodyi-bpn-40-40-litrov-s-kranom-na-rezinovyih-nozhkah-s-osnovaniem" TargetMode="External"/><Relationship Id="rId10" Type="http://schemas.openxmlformats.org/officeDocument/2006/relationships/hyperlink" Target="https://kne.su/product/item/bak-d-vodyi-bp-150-150-litrov-s-kranom" TargetMode="External"/><Relationship Id="rId19" Type="http://schemas.openxmlformats.org/officeDocument/2006/relationships/table" Target="../tables/table18.xml"/><Relationship Id="rId4" Type="http://schemas.openxmlformats.org/officeDocument/2006/relationships/hyperlink" Target="https://kne.su/nerzhaveyuschie-baki-dlya-vodyi/bak-d-vodyi-bp-30-30-litrov-s-kranom" TargetMode="External"/><Relationship Id="rId9" Type="http://schemas.openxmlformats.org/officeDocument/2006/relationships/hyperlink" Target="https://kne.su/product/item/bak-d-vodyi-bp-120-120-litrov-s-kranom" TargetMode="External"/><Relationship Id="rId14" Type="http://schemas.openxmlformats.org/officeDocument/2006/relationships/hyperlink" Target="https://kne.su/nerzhaveyuschie-baki-dlya-vodyi/bak-d-vodyi-bpn-30-30-litrov-s-kranom-na-rezinovyih-nozhkah-s-osnovanie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kne.su/product/item/podnos-kruglyiy-385-mm" TargetMode="External"/><Relationship Id="rId3" Type="http://schemas.openxmlformats.org/officeDocument/2006/relationships/hyperlink" Target="https://kne.su/product/item/podnos-kruglyiy-255-mm" TargetMode="External"/><Relationship Id="rId7" Type="http://schemas.openxmlformats.org/officeDocument/2006/relationships/hyperlink" Target="https://kne.su/product/item/podnos-kruglyiy-320-mm" TargetMode="External"/><Relationship Id="rId2" Type="http://schemas.openxmlformats.org/officeDocument/2006/relationships/hyperlink" Target="https://kne.su/product/item/podnos-kruglyiy-240-mm" TargetMode="External"/><Relationship Id="rId1" Type="http://schemas.openxmlformats.org/officeDocument/2006/relationships/hyperlink" Target="https://kne.su/product/item/podnos-kruglyiy-235-mm" TargetMode="External"/><Relationship Id="rId6" Type="http://schemas.openxmlformats.org/officeDocument/2006/relationships/hyperlink" Target="https://kne.su/product/item/podnos-kruglyiy-315-mm" TargetMode="External"/><Relationship Id="rId5" Type="http://schemas.openxmlformats.org/officeDocument/2006/relationships/hyperlink" Target="https://kne.su/product/item/podnos-kruglyiy-300-mm" TargetMode="External"/><Relationship Id="rId4" Type="http://schemas.openxmlformats.org/officeDocument/2006/relationships/hyperlink" Target="https://kne.su/product/item/podnos-kruglyiy-295-mm" TargetMode="External"/><Relationship Id="rId9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kne.su/product/item/marmit-elektricheskiy-m-12" TargetMode="External"/><Relationship Id="rId2" Type="http://schemas.openxmlformats.org/officeDocument/2006/relationships/hyperlink" Target="https://kne.su/product/item/marmit-elektricheskiy-m-9" TargetMode="External"/><Relationship Id="rId1" Type="http://schemas.openxmlformats.org/officeDocument/2006/relationships/hyperlink" Target="https://kne.su/product/item/marmit-elektricheskiy-m-6" TargetMode="External"/><Relationship Id="rId5" Type="http://schemas.openxmlformats.org/officeDocument/2006/relationships/table" Target="../tables/table19.xml"/><Relationship Id="rId4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kne.su/syirovarni-elektricheskie/syirovarnya-elektricheskaya-s-24-24-litra" TargetMode="External"/><Relationship Id="rId2" Type="http://schemas.openxmlformats.org/officeDocument/2006/relationships/hyperlink" Target="https://kne.su/syirovarni-elektricheskie/syirovarnya-elektricheskaya-s-18-18-litrov" TargetMode="External"/><Relationship Id="rId1" Type="http://schemas.openxmlformats.org/officeDocument/2006/relationships/hyperlink" Target="https://kne.su/syirovarni-elektricheskie/syirovarnya-elektricheskaya-s-12-12-litrov" TargetMode="External"/><Relationship Id="rId5" Type="http://schemas.openxmlformats.org/officeDocument/2006/relationships/table" Target="../tables/table20.xml"/><Relationship Id="rId4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kne.su/product/distillyatoryi" TargetMode="External"/><Relationship Id="rId7" Type="http://schemas.openxmlformats.org/officeDocument/2006/relationships/table" Target="../tables/table21.xml"/><Relationship Id="rId2" Type="http://schemas.openxmlformats.org/officeDocument/2006/relationships/hyperlink" Target="https://kne.su/product/distillyatoryi" TargetMode="External"/><Relationship Id="rId1" Type="http://schemas.openxmlformats.org/officeDocument/2006/relationships/hyperlink" Target="https://kne.su/distillyatoryi/de-1-24-litra" TargetMode="External"/><Relationship Id="rId6" Type="http://schemas.openxmlformats.org/officeDocument/2006/relationships/drawing" Target="../drawings/drawing11.xml"/><Relationship Id="rId5" Type="http://schemas.openxmlformats.org/officeDocument/2006/relationships/hyperlink" Target="https://kne.su/product/distillyatoryi" TargetMode="External"/><Relationship Id="rId4" Type="http://schemas.openxmlformats.org/officeDocument/2006/relationships/hyperlink" Target="https://kne.su/distillyatoryi/de-4-60-litrov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kne.su/tskt/tsilindrokonicheskiy-pivnoy-tank-80-litrov" TargetMode="External"/><Relationship Id="rId2" Type="http://schemas.openxmlformats.org/officeDocument/2006/relationships/hyperlink" Target="https://kne.su/tskt/tsilindrokonicheskiy-pivnoy-tank-60-litrov" TargetMode="External"/><Relationship Id="rId1" Type="http://schemas.openxmlformats.org/officeDocument/2006/relationships/hyperlink" Target="https://kne.su/tskt/tsilindrokonicheskiy-pivnoy-tank" TargetMode="External"/><Relationship Id="rId5" Type="http://schemas.openxmlformats.org/officeDocument/2006/relationships/table" Target="../tables/table22.xml"/><Relationship Id="rId4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kne.su/product/item/datchik-urovnya-kna" TargetMode="External"/><Relationship Id="rId13" Type="http://schemas.openxmlformats.org/officeDocument/2006/relationships/hyperlink" Target="https://kne.su/komplektuyuschie/uplotnitelnoe-koltso-tg-24-36" TargetMode="External"/><Relationship Id="rId18" Type="http://schemas.openxmlformats.org/officeDocument/2006/relationships/hyperlink" Target="https://kne.su/product/komplektuyuschie" TargetMode="External"/><Relationship Id="rId3" Type="http://schemas.openxmlformats.org/officeDocument/2006/relationships/hyperlink" Target="https://kne.su/product/item/ten-107-3-kvt" TargetMode="External"/><Relationship Id="rId21" Type="http://schemas.openxmlformats.org/officeDocument/2006/relationships/hyperlink" Target="https://kne.su/komplektuyuschie/kran-nerzhaveyuschiy" TargetMode="External"/><Relationship Id="rId7" Type="http://schemas.openxmlformats.org/officeDocument/2006/relationships/hyperlink" Target="https://kne.su/product/item/datchik-temperaturyi-kna-vyipusk-s-2026-goda" TargetMode="External"/><Relationship Id="rId12" Type="http://schemas.openxmlformats.org/officeDocument/2006/relationships/hyperlink" Target="https://kne.su/komplektuyuschie/uplotnitelnoe-koltso-tg-4-6-9-12-18" TargetMode="External"/><Relationship Id="rId17" Type="http://schemas.openxmlformats.org/officeDocument/2006/relationships/hyperlink" Target="https://kne.su/product/item/rezinovoe-osnovanie-dlya-tg-tgn-4-6-9-12-18" TargetMode="External"/><Relationship Id="rId25" Type="http://schemas.openxmlformats.org/officeDocument/2006/relationships/drawing" Target="../drawings/drawing13.xml"/><Relationship Id="rId2" Type="http://schemas.openxmlformats.org/officeDocument/2006/relationships/hyperlink" Target="https://kne.su/komplektuyuschie/ten-91-dlya-kna" TargetMode="External"/><Relationship Id="rId16" Type="http://schemas.openxmlformats.org/officeDocument/2006/relationships/hyperlink" Target="https://kne.su/product/item/uplotnitelnoe-koltso-tg-i-tgn-312-mm" TargetMode="External"/><Relationship Id="rId20" Type="http://schemas.openxmlformats.org/officeDocument/2006/relationships/hyperlink" Target="https://kne.su/komplektuyuschie/kran-1-2" TargetMode="External"/><Relationship Id="rId1" Type="http://schemas.openxmlformats.org/officeDocument/2006/relationships/hyperlink" Target="https://kne.su/komplektuyuschie/ten-76-dlya-kne" TargetMode="External"/><Relationship Id="rId6" Type="http://schemas.openxmlformats.org/officeDocument/2006/relationships/hyperlink" Target="https://kne.su/product/komplektuyuschie" TargetMode="External"/><Relationship Id="rId11" Type="http://schemas.openxmlformats.org/officeDocument/2006/relationships/hyperlink" Target="https://kne.su/product/item/poplavkovoe-ustroystvo-kne" TargetMode="External"/><Relationship Id="rId24" Type="http://schemas.openxmlformats.org/officeDocument/2006/relationships/hyperlink" Target="https://kne.su/product/komplektuyuschie" TargetMode="External"/><Relationship Id="rId5" Type="http://schemas.openxmlformats.org/officeDocument/2006/relationships/hyperlink" Target="https://kne.su/product/item/datchik-suhogo-hoda-kna-vyipusk-do-2026-goda" TargetMode="External"/><Relationship Id="rId15" Type="http://schemas.openxmlformats.org/officeDocument/2006/relationships/hyperlink" Target="https://kne.su/product/item/uplotnitelnoe-koltso-tg-i-tgn-252-mm" TargetMode="External"/><Relationship Id="rId23" Type="http://schemas.openxmlformats.org/officeDocument/2006/relationships/hyperlink" Target="https://kne.su/product/komplektuyuschie" TargetMode="External"/><Relationship Id="rId10" Type="http://schemas.openxmlformats.org/officeDocument/2006/relationships/hyperlink" Target="https://kne.su/komplektuyuschie/avtomatika-dlya-kna" TargetMode="External"/><Relationship Id="rId19" Type="http://schemas.openxmlformats.org/officeDocument/2006/relationships/hyperlink" Target="https://kne.su/komplektuyuschie/avtomatika-universalnaya-vyinosnaya" TargetMode="External"/><Relationship Id="rId4" Type="http://schemas.openxmlformats.org/officeDocument/2006/relationships/hyperlink" Target="https://kne.su/komplektuyuschie/datchik-suhogo-hoda-dlya-kne" TargetMode="External"/><Relationship Id="rId9" Type="http://schemas.openxmlformats.org/officeDocument/2006/relationships/hyperlink" Target="https://kne.su/komplektuyuschie/avtomatika-kne" TargetMode="External"/><Relationship Id="rId14" Type="http://schemas.openxmlformats.org/officeDocument/2006/relationships/hyperlink" Target="https://kne.su/product/item/uplotnitelnoe-koltso-bdn-40-i-tskt-400-mm" TargetMode="External"/><Relationship Id="rId22" Type="http://schemas.openxmlformats.org/officeDocument/2006/relationships/hyperlink" Target="https://kne.su/product/komplektuyuschie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kne.su/product/item/kanistra-25-litrov-tolschina-0-8-mm-aisi-304" TargetMode="External"/><Relationship Id="rId3" Type="http://schemas.openxmlformats.org/officeDocument/2006/relationships/hyperlink" Target="https://kne.su/product/item/kanistra-20-litrov-tolschina-0-5-mm-aisi-430" TargetMode="External"/><Relationship Id="rId7" Type="http://schemas.openxmlformats.org/officeDocument/2006/relationships/hyperlink" Target="https://kne.su/product/item/kanistra-25-litrov-tolschina-0-8-mm-aisi-430" TargetMode="External"/><Relationship Id="rId2" Type="http://schemas.openxmlformats.org/officeDocument/2006/relationships/hyperlink" Target="https://kne.su/product/item/kanistra-20-litrov-tolschina-0-8-mm" TargetMode="External"/><Relationship Id="rId1" Type="http://schemas.openxmlformats.org/officeDocument/2006/relationships/hyperlink" Target="https://kne.su/product/item/kanistra-20-litrov-tolschina-0-5-mm" TargetMode="External"/><Relationship Id="rId6" Type="http://schemas.openxmlformats.org/officeDocument/2006/relationships/hyperlink" Target="https://kne.su/product/item/kanistra-20-litrov-tolschina-0-8-mm-aisi-304" TargetMode="External"/><Relationship Id="rId11" Type="http://schemas.openxmlformats.org/officeDocument/2006/relationships/drawing" Target="../drawings/drawing14.xml"/><Relationship Id="rId5" Type="http://schemas.openxmlformats.org/officeDocument/2006/relationships/hyperlink" Target="https://kne.su/product/item/kanistra-20-litrov-tolschina-0-5-mm-aisi-304" TargetMode="External"/><Relationship Id="rId10" Type="http://schemas.openxmlformats.org/officeDocument/2006/relationships/hyperlink" Target="https://kne.su/product/item/kanistra-35-litrov-tolschina-0-8-mm-aisi-304" TargetMode="External"/><Relationship Id="rId4" Type="http://schemas.openxmlformats.org/officeDocument/2006/relationships/hyperlink" Target="https://kne.su/product/item/kanistra-20-litrov-tolschina-0-8-mm-aisi-430" TargetMode="External"/><Relationship Id="rId9" Type="http://schemas.openxmlformats.org/officeDocument/2006/relationships/hyperlink" Target="https://kne.su/product/item/kanistra-35-litrov-tolschina-0-8-mm-aisi-430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drawing" Target="../drawings/drawing15.xml"/><Relationship Id="rId1" Type="http://schemas.openxmlformats.org/officeDocument/2006/relationships/hyperlink" Target="https://kne.su/product/item/konteyner-dlya-tko-i-t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ACA6F"/>
    <pageSetUpPr fitToPage="1"/>
  </sheetPr>
  <dimension ref="A1:C26"/>
  <sheetViews>
    <sheetView showGridLines="0" tabSelected="1" zoomScaleNormal="100" workbookViewId="0">
      <selection activeCell="F28" sqref="F28"/>
    </sheetView>
  </sheetViews>
  <sheetFormatPr defaultColWidth="8.5703125" defaultRowHeight="15"/>
  <cols>
    <col min="1" max="1" width="24" style="1" customWidth="1"/>
    <col min="2" max="2" width="42" style="1" customWidth="1"/>
    <col min="3" max="3" width="30" style="1" customWidth="1"/>
  </cols>
  <sheetData>
    <row r="1" spans="1:3" ht="25.5">
      <c r="A1" s="2" t="s">
        <v>0</v>
      </c>
    </row>
    <row r="2" spans="1:3" ht="15.75">
      <c r="A2" s="3" t="s">
        <v>1</v>
      </c>
    </row>
    <row r="4" spans="1:3" ht="15.75">
      <c r="A4" s="4" t="s">
        <v>2</v>
      </c>
      <c r="B4" s="5" t="s">
        <v>3</v>
      </c>
      <c r="C4" s="6" t="s">
        <v>4</v>
      </c>
    </row>
    <row r="6" spans="1:3" ht="15.75">
      <c r="A6" s="4" t="s">
        <v>5</v>
      </c>
      <c r="B6" s="7" t="s">
        <v>6</v>
      </c>
    </row>
    <row r="8" spans="1:3" ht="15.75">
      <c r="A8" s="4" t="s">
        <v>7</v>
      </c>
      <c r="B8" s="7" t="s">
        <v>8</v>
      </c>
      <c r="C8" s="6" t="s">
        <v>9</v>
      </c>
    </row>
    <row r="9" spans="1:3" ht="15.75">
      <c r="B9" s="7" t="s">
        <v>10</v>
      </c>
    </row>
    <row r="10" spans="1:3" ht="15.75">
      <c r="B10" s="7" t="s">
        <v>11</v>
      </c>
    </row>
    <row r="11" spans="1:3" ht="15.75">
      <c r="B11" s="7" t="s">
        <v>12</v>
      </c>
    </row>
    <row r="12" spans="1:3" ht="15.75">
      <c r="B12" s="7" t="s">
        <v>13</v>
      </c>
      <c r="C12" s="6" t="s">
        <v>310</v>
      </c>
    </row>
    <row r="14" spans="1:3" ht="15.75">
      <c r="A14" s="4" t="s">
        <v>14</v>
      </c>
      <c r="B14" s="5" t="s">
        <v>15</v>
      </c>
    </row>
    <row r="15" spans="1:3" ht="15.75">
      <c r="B15" s="5" t="s">
        <v>16</v>
      </c>
    </row>
    <row r="16" spans="1:3" ht="15.75">
      <c r="B16" s="5" t="s">
        <v>17</v>
      </c>
    </row>
    <row r="18" spans="1:3" ht="15.75">
      <c r="A18" s="4" t="s">
        <v>18</v>
      </c>
      <c r="B18" s="5" t="s">
        <v>19</v>
      </c>
    </row>
    <row r="19" spans="1:3" ht="15.75">
      <c r="B19" s="5" t="s">
        <v>20</v>
      </c>
    </row>
    <row r="20" spans="1:3" ht="15.75">
      <c r="B20" s="5" t="s">
        <v>21</v>
      </c>
    </row>
    <row r="22" spans="1:3" ht="15.75">
      <c r="A22" s="4" t="s">
        <v>22</v>
      </c>
      <c r="B22" s="5" t="s">
        <v>23</v>
      </c>
    </row>
    <row r="23" spans="1:3" ht="15.75">
      <c r="B23" s="5" t="s">
        <v>24</v>
      </c>
    </row>
    <row r="26" spans="1:3" ht="15.75">
      <c r="A26" s="121" t="s">
        <v>25</v>
      </c>
      <c r="B26" s="121"/>
      <c r="C26" s="121"/>
    </row>
  </sheetData>
  <mergeCells count="1">
    <mergeCell ref="A26:C26"/>
  </mergeCells>
  <hyperlinks>
    <hyperlink ref="B4" r:id="rId1"/>
    <hyperlink ref="B14" r:id="rId2"/>
    <hyperlink ref="B15" r:id="rId3"/>
    <hyperlink ref="B16" r:id="rId4"/>
    <hyperlink ref="B18" r:id="rId5"/>
    <hyperlink ref="B19" r:id="rId6"/>
    <hyperlink ref="B20" r:id="rId7"/>
    <hyperlink ref="B22" r:id="rId8"/>
    <hyperlink ref="B23" r:id="rId9"/>
    <hyperlink ref="A26" location="'ИТОГО'!A1" display="Расчёт заказа со скидкой — лист «ИТОГО»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BC2E6"/>
    <pageSetUpPr fitToPage="1"/>
  </sheetPr>
  <dimension ref="A1:L38"/>
  <sheetViews>
    <sheetView zoomScaleNormal="100" workbookViewId="0">
      <pane ySplit="3" topLeftCell="A4" activePane="bottomLeft" state="frozen"/>
      <selection pane="bottomLeft" activeCell="L26" sqref="L26"/>
    </sheetView>
  </sheetViews>
  <sheetFormatPr defaultColWidth="8.5703125" defaultRowHeight="15"/>
  <cols>
    <col min="1" max="1" width="34" style="1" customWidth="1"/>
    <col min="2" max="2" width="16" style="1" customWidth="1"/>
    <col min="3" max="3" width="12" style="1" customWidth="1"/>
    <col min="4" max="5" width="18" style="1" customWidth="1"/>
    <col min="6" max="7" width="11" style="1" customWidth="1"/>
    <col min="8" max="8" width="3" style="1" customWidth="1"/>
    <col min="9" max="9" width="5" style="1" customWidth="1"/>
    <col min="10" max="10" width="16" style="1" customWidth="1"/>
    <col min="11" max="11" width="20" style="1" customWidth="1"/>
    <col min="12" max="12" width="10" style="1" customWidth="1"/>
  </cols>
  <sheetData>
    <row r="1" spans="1:12" ht="20.25">
      <c r="A1" s="125" t="s">
        <v>26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ht="30" customHeight="1">
      <c r="A2" s="126" t="s">
        <v>27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4" spans="1:12" ht="30" customHeight="1">
      <c r="A4" s="124" t="s">
        <v>28</v>
      </c>
      <c r="B4" s="124"/>
      <c r="I4" s="127" t="s">
        <v>29</v>
      </c>
      <c r="J4" s="127"/>
      <c r="K4" s="127"/>
      <c r="L4" s="127"/>
    </row>
    <row r="5" spans="1:12" ht="25.5">
      <c r="A5" s="8" t="s">
        <v>30</v>
      </c>
      <c r="B5" s="9">
        <f>B36</f>
        <v>0</v>
      </c>
      <c r="I5" s="10" t="s">
        <v>31</v>
      </c>
      <c r="J5" s="10" t="s">
        <v>32</v>
      </c>
      <c r="K5" s="10" t="s">
        <v>33</v>
      </c>
      <c r="L5" s="10" t="s">
        <v>34</v>
      </c>
    </row>
    <row r="6" spans="1:12">
      <c r="A6" s="8" t="s">
        <v>35</v>
      </c>
      <c r="B6" s="9">
        <f>C36</f>
        <v>0</v>
      </c>
      <c r="I6" s="11">
        <v>1</v>
      </c>
      <c r="J6" s="12">
        <v>0</v>
      </c>
      <c r="K6" s="11" t="str">
        <f t="shared" ref="K6:K11" si="0">IF(J6&lt;1000,TEXT(J6,"0"),INT(J6/1000)&amp;" "&amp;TEXT(MOD(INT(J6),1000),"000"))&amp;"-"&amp;IF((J7-1000)&lt;1000,TEXT((J7-1000),"0"),INT((J7-1000)/1000)&amp;" "&amp;TEXT(MOD(INT((J7-1000)),1000),"000"))</f>
        <v>0-30 000</v>
      </c>
      <c r="L6" s="13">
        <v>0</v>
      </c>
    </row>
    <row r="7" spans="1:12">
      <c r="A7" s="8" t="s">
        <v>36</v>
      </c>
      <c r="B7" s="14">
        <f>D36</f>
        <v>0</v>
      </c>
      <c r="I7" s="11">
        <v>2</v>
      </c>
      <c r="J7" s="12">
        <v>31000</v>
      </c>
      <c r="K7" s="11" t="str">
        <f t="shared" si="0"/>
        <v>31 000-80 000</v>
      </c>
      <c r="L7" s="13">
        <v>0.03</v>
      </c>
    </row>
    <row r="8" spans="1:12">
      <c r="A8" s="8" t="s">
        <v>37</v>
      </c>
      <c r="B8" s="15" t="str">
        <f>INDEX(K6:K12,B16)</f>
        <v>0-30 000</v>
      </c>
      <c r="I8" s="11">
        <v>3</v>
      </c>
      <c r="J8" s="12">
        <v>81000</v>
      </c>
      <c r="K8" s="11" t="str">
        <f t="shared" si="0"/>
        <v>81 000-150 000</v>
      </c>
      <c r="L8" s="13">
        <v>7.0000000000000007E-2</v>
      </c>
    </row>
    <row r="9" spans="1:12">
      <c r="A9" s="8" t="s">
        <v>34</v>
      </c>
      <c r="B9" s="16">
        <f>INDEX(L6:L12,B16)</f>
        <v>0</v>
      </c>
      <c r="I9" s="11">
        <v>4</v>
      </c>
      <c r="J9" s="12">
        <v>151000</v>
      </c>
      <c r="K9" s="11" t="str">
        <f t="shared" si="0"/>
        <v>151 000-300 000</v>
      </c>
      <c r="L9" s="13">
        <v>0.1</v>
      </c>
    </row>
    <row r="10" spans="1:12">
      <c r="A10" s="8" t="s">
        <v>38</v>
      </c>
      <c r="B10" s="17">
        <f>ROUND(B7*B9,2)</f>
        <v>0</v>
      </c>
      <c r="I10" s="11">
        <v>5</v>
      </c>
      <c r="J10" s="12">
        <v>301000</v>
      </c>
      <c r="K10" s="11" t="str">
        <f t="shared" si="0"/>
        <v>301 000-450 000</v>
      </c>
      <c r="L10" s="13">
        <v>0.13</v>
      </c>
    </row>
    <row r="11" spans="1:12">
      <c r="A11" s="18" t="s">
        <v>39</v>
      </c>
      <c r="B11" s="19">
        <f>B7-B10</f>
        <v>0</v>
      </c>
      <c r="I11" s="11">
        <v>6</v>
      </c>
      <c r="J11" s="12">
        <v>451000</v>
      </c>
      <c r="K11" s="11" t="str">
        <f t="shared" si="0"/>
        <v>451 000-600 000</v>
      </c>
      <c r="L11" s="13">
        <v>0.15</v>
      </c>
    </row>
    <row r="12" spans="1:12">
      <c r="A12" s="8" t="s">
        <v>40</v>
      </c>
      <c r="B12" s="14">
        <f>IF(B16&lt;7,INDEX(J6:J12,B16+1)-B7,0)</f>
        <v>31000</v>
      </c>
      <c r="I12" s="11">
        <v>7</v>
      </c>
      <c r="J12" s="12">
        <v>601000</v>
      </c>
      <c r="K12" s="11" t="str">
        <f>IF(J12&lt;1000,TEXT(J12,"0"),INT(J12/1000)&amp;" "&amp;TEXT(MOD(INT(J12),1000),"000"))&amp;" и выше"</f>
        <v>601 000 и выше</v>
      </c>
      <c r="L12" s="13">
        <v>0.17</v>
      </c>
    </row>
    <row r="13" spans="1:12">
      <c r="A13" s="128" t="str">
        <f>IF(B7=0,"",IF(B16&lt;7,"Добавьте товаров ещё на "&amp;IF(B12&lt;1000,TEXT(B12,"0"),INT(B12/1000)&amp;" "&amp;TEXT(MOD(INT(B12),1000),"000"))&amp;" руб. — скидка станет "&amp;TEXT(INDEX(L6:L12,B16+1),"0%")&amp;".","У заказа максимальная скидка."))</f>
        <v/>
      </c>
      <c r="B13" s="128"/>
      <c r="C13" s="128"/>
      <c r="D13" s="128"/>
      <c r="E13" s="128"/>
      <c r="F13" s="128"/>
      <c r="G13" s="128"/>
    </row>
    <row r="14" spans="1:12" ht="15" customHeight="1">
      <c r="A14" s="8" t="s">
        <v>41</v>
      </c>
      <c r="B14" s="20">
        <f>F36</f>
        <v>0</v>
      </c>
      <c r="I14" s="122" t="s">
        <v>42</v>
      </c>
      <c r="J14" s="122"/>
      <c r="K14" s="122"/>
      <c r="L14" s="122"/>
    </row>
    <row r="15" spans="1:12">
      <c r="A15" s="8" t="s">
        <v>43</v>
      </c>
      <c r="B15" s="21">
        <f>G36</f>
        <v>0</v>
      </c>
      <c r="I15" s="122"/>
      <c r="J15" s="122"/>
      <c r="K15" s="122"/>
      <c r="L15" s="122"/>
    </row>
    <row r="16" spans="1:12">
      <c r="A16" s="22" t="s">
        <v>44</v>
      </c>
      <c r="B16" s="23">
        <f>IF(B7&lt;=0,1,MATCH(B7,J6:J12,1))</f>
        <v>1</v>
      </c>
      <c r="I16" s="122"/>
      <c r="J16" s="122"/>
      <c r="K16" s="122"/>
      <c r="L16" s="122"/>
    </row>
    <row r="17" spans="1:7">
      <c r="A17" s="123" t="s">
        <v>45</v>
      </c>
      <c r="B17" s="123"/>
      <c r="C17" s="123"/>
      <c r="D17" s="123"/>
      <c r="E17" s="123"/>
      <c r="F17" s="123"/>
      <c r="G17" s="123"/>
    </row>
    <row r="19" spans="1:7">
      <c r="A19" s="124" t="s">
        <v>46</v>
      </c>
      <c r="B19" s="124"/>
      <c r="C19" s="124"/>
      <c r="D19" s="124"/>
      <c r="E19" s="124"/>
      <c r="F19" s="124"/>
      <c r="G19" s="124"/>
    </row>
    <row r="20" spans="1:7">
      <c r="A20" s="10" t="s">
        <v>47</v>
      </c>
      <c r="B20" s="10" t="s">
        <v>48</v>
      </c>
      <c r="C20" s="10" t="s">
        <v>49</v>
      </c>
      <c r="D20" s="10" t="s">
        <v>36</v>
      </c>
      <c r="E20" s="10" t="s">
        <v>50</v>
      </c>
      <c r="F20" s="10" t="s">
        <v>51</v>
      </c>
      <c r="G20" s="10" t="s">
        <v>52</v>
      </c>
    </row>
    <row r="21" spans="1:7">
      <c r="A21" s="24" t="s">
        <v>53</v>
      </c>
      <c r="B21" s="25">
        <f>COUNTIF(Кипятильники!F2:F84,"&gt;0")</f>
        <v>0</v>
      </c>
      <c r="C21" s="25">
        <f>Кипятильники!J3</f>
        <v>0</v>
      </c>
      <c r="D21" s="14">
        <f>Кипятильники!K3</f>
        <v>0</v>
      </c>
      <c r="E21" s="14">
        <f t="shared" ref="E21:E35" si="1">D21*(1-cur_rate)</f>
        <v>0</v>
      </c>
      <c r="F21" s="26">
        <f>Кипятильники!O21</f>
        <v>0</v>
      </c>
      <c r="G21" s="27">
        <f>Кипятильники!P21</f>
        <v>0</v>
      </c>
    </row>
    <row r="22" spans="1:7">
      <c r="A22" s="24" t="s">
        <v>54</v>
      </c>
      <c r="B22" s="25">
        <f>COUNTIF('Термосы эмалированные'!F2:F62,"&gt;0")</f>
        <v>0</v>
      </c>
      <c r="C22" s="25">
        <f>'Термосы эмалированные'!J3</f>
        <v>0</v>
      </c>
      <c r="D22" s="14">
        <f>'Термосы эмалированные'!K3</f>
        <v>0</v>
      </c>
      <c r="E22" s="14">
        <f t="shared" si="1"/>
        <v>0</v>
      </c>
      <c r="F22" s="26">
        <f>'Термосы эмалированные'!O20</f>
        <v>0</v>
      </c>
      <c r="G22" s="27">
        <f>'Термосы эмалированные'!P20</f>
        <v>0</v>
      </c>
    </row>
    <row r="23" spans="1:7">
      <c r="A23" s="24" t="s">
        <v>55</v>
      </c>
      <c r="B23" s="25">
        <f>COUNTIF('Термосы нержавеющие'!F2:F58,"&gt;0")</f>
        <v>0</v>
      </c>
      <c r="C23" s="25">
        <f>'Термосы нержавеющие'!J3</f>
        <v>0</v>
      </c>
      <c r="D23" s="14">
        <f>'Термосы нержавеющие'!K3</f>
        <v>0</v>
      </c>
      <c r="E23" s="14">
        <f t="shared" si="1"/>
        <v>0</v>
      </c>
      <c r="F23" s="26">
        <f>'Термосы нержавеющие'!O20</f>
        <v>0</v>
      </c>
      <c r="G23" s="27">
        <f>'Термосы нержавеющие'!P20</f>
        <v>0</v>
      </c>
    </row>
    <row r="24" spans="1:7">
      <c r="A24" s="24" t="s">
        <v>56</v>
      </c>
      <c r="B24" s="25">
        <f>COUNTIF('Термосы с краном'!F2:F75,"&gt;0")</f>
        <v>0</v>
      </c>
      <c r="C24" s="25">
        <f>'Термосы с краном'!J3</f>
        <v>0</v>
      </c>
      <c r="D24" s="14">
        <f>'Термосы с краном'!K3</f>
        <v>0</v>
      </c>
      <c r="E24" s="14">
        <f t="shared" si="1"/>
        <v>0</v>
      </c>
      <c r="F24" s="26">
        <f>'Термосы с краном'!O17</f>
        <v>0</v>
      </c>
      <c r="G24" s="27">
        <f>'Термосы с краном'!P17</f>
        <v>0</v>
      </c>
    </row>
    <row r="25" spans="1:7">
      <c r="A25" s="24" t="s">
        <v>57</v>
      </c>
      <c r="B25" s="25">
        <f>COUNTIF('Термосы на колесах'!F2:F19,"&gt;0")</f>
        <v>0</v>
      </c>
      <c r="C25" s="25">
        <f>'Термосы на колесах'!J3</f>
        <v>0</v>
      </c>
      <c r="D25" s="14">
        <f>'Термосы на колесах'!K3</f>
        <v>0</v>
      </c>
      <c r="E25" s="14">
        <f t="shared" si="1"/>
        <v>0</v>
      </c>
      <c r="F25" s="26">
        <f>'Термосы на колесах'!O14</f>
        <v>0</v>
      </c>
      <c r="G25" s="27">
        <f>'Термосы на колесах'!P14</f>
        <v>0</v>
      </c>
    </row>
    <row r="26" spans="1:7">
      <c r="A26" s="24" t="s">
        <v>58</v>
      </c>
      <c r="B26" s="25">
        <f>COUNTIF(Бидоны!F2:F61,"&gt;0")</f>
        <v>0</v>
      </c>
      <c r="C26" s="25">
        <f>Бидоны!J3</f>
        <v>0</v>
      </c>
      <c r="D26" s="14">
        <f>Бидоны!K3</f>
        <v>0</v>
      </c>
      <c r="E26" s="14">
        <f t="shared" si="1"/>
        <v>0</v>
      </c>
      <c r="F26" s="26">
        <f>Бидоны!O20</f>
        <v>0</v>
      </c>
      <c r="G26" s="27">
        <f>Бидоны!P20</f>
        <v>0</v>
      </c>
    </row>
    <row r="27" spans="1:7">
      <c r="A27" s="24" t="s">
        <v>59</v>
      </c>
      <c r="B27" s="25">
        <f>COUNTIF(Баки!F2:F110,"&gt;0")</f>
        <v>0</v>
      </c>
      <c r="C27" s="25">
        <f>Баки!J3</f>
        <v>0</v>
      </c>
      <c r="D27" s="14">
        <f>Баки!K3</f>
        <v>0</v>
      </c>
      <c r="E27" s="14">
        <f t="shared" si="1"/>
        <v>0</v>
      </c>
      <c r="F27" s="26">
        <f>Баки!O23</f>
        <v>0</v>
      </c>
      <c r="G27" s="27">
        <f>Баки!P23</f>
        <v>0</v>
      </c>
    </row>
    <row r="28" spans="1:7">
      <c r="A28" s="24" t="s">
        <v>60</v>
      </c>
      <c r="B28" s="25">
        <f>COUNTIF(Подносы!G2:G9,"&gt;0")</f>
        <v>0</v>
      </c>
      <c r="C28" s="25">
        <f>Подносы!J2</f>
        <v>0</v>
      </c>
      <c r="D28" s="14">
        <f>Подносы!K2</f>
        <v>0</v>
      </c>
      <c r="E28" s="14">
        <f t="shared" si="1"/>
        <v>0</v>
      </c>
      <c r="F28" s="28" t="s">
        <v>61</v>
      </c>
      <c r="G28" s="28" t="s">
        <v>61</v>
      </c>
    </row>
    <row r="29" spans="1:7">
      <c r="A29" s="24" t="s">
        <v>62</v>
      </c>
      <c r="B29" s="25">
        <f>COUNTIF(Мармиты!F2:F23,"&gt;0")</f>
        <v>0</v>
      </c>
      <c r="C29" s="25">
        <f>Мармиты!J3</f>
        <v>0</v>
      </c>
      <c r="D29" s="14">
        <f>Мармиты!K3</f>
        <v>0</v>
      </c>
      <c r="E29" s="14">
        <f t="shared" si="1"/>
        <v>0</v>
      </c>
      <c r="F29" s="28" t="s">
        <v>61</v>
      </c>
      <c r="G29" s="28" t="s">
        <v>61</v>
      </c>
    </row>
    <row r="30" spans="1:7">
      <c r="A30" s="24" t="s">
        <v>63</v>
      </c>
      <c r="B30" s="25">
        <f>COUNTIF(Сыроварни!F2:F23,"&gt;0")</f>
        <v>0</v>
      </c>
      <c r="C30" s="25">
        <f>Сыроварни!J3</f>
        <v>0</v>
      </c>
      <c r="D30" s="14">
        <f>Сыроварни!K3</f>
        <v>0</v>
      </c>
      <c r="E30" s="14">
        <f t="shared" si="1"/>
        <v>0</v>
      </c>
      <c r="F30" s="28" t="s">
        <v>61</v>
      </c>
      <c r="G30" s="28" t="s">
        <v>61</v>
      </c>
    </row>
    <row r="31" spans="1:7">
      <c r="A31" s="24" t="s">
        <v>64</v>
      </c>
      <c r="B31" s="25">
        <f>COUNTIF(Дистилляторы!F2:F37,"&gt;0")</f>
        <v>0</v>
      </c>
      <c r="C31" s="25">
        <f>Дистилляторы!J3</f>
        <v>0</v>
      </c>
      <c r="D31" s="14">
        <f>Дистилляторы!K3</f>
        <v>0</v>
      </c>
      <c r="E31" s="14">
        <f t="shared" si="1"/>
        <v>0</v>
      </c>
      <c r="F31" s="28" t="s">
        <v>61</v>
      </c>
      <c r="G31" s="28" t="s">
        <v>61</v>
      </c>
    </row>
    <row r="32" spans="1:7">
      <c r="A32" s="24" t="s">
        <v>65</v>
      </c>
      <c r="B32" s="25">
        <f>COUNTIF(ЦКТ!F2:F23,"&gt;0")</f>
        <v>0</v>
      </c>
      <c r="C32" s="25">
        <f>ЦКТ!J3</f>
        <v>0</v>
      </c>
      <c r="D32" s="14">
        <f>ЦКТ!K3</f>
        <v>0</v>
      </c>
      <c r="E32" s="14">
        <f t="shared" si="1"/>
        <v>0</v>
      </c>
      <c r="F32" s="26">
        <f>ЦКТ!O14</f>
        <v>0</v>
      </c>
      <c r="G32" s="27">
        <f>ЦКТ!P14</f>
        <v>0</v>
      </c>
    </row>
    <row r="33" spans="1:7">
      <c r="A33" s="24" t="s">
        <v>66</v>
      </c>
      <c r="B33" s="25">
        <f>COUNTIF(Комплектующие!G2:G32,"&gt;0")</f>
        <v>0</v>
      </c>
      <c r="C33" s="25">
        <f>Комплектующие!J3</f>
        <v>0</v>
      </c>
      <c r="D33" s="14">
        <f>Комплектующие!K3</f>
        <v>0</v>
      </c>
      <c r="E33" s="14">
        <f t="shared" si="1"/>
        <v>0</v>
      </c>
      <c r="F33" s="28" t="s">
        <v>61</v>
      </c>
      <c r="G33" s="28" t="s">
        <v>61</v>
      </c>
    </row>
    <row r="34" spans="1:7">
      <c r="A34" s="24" t="s">
        <v>67</v>
      </c>
      <c r="B34" s="25">
        <f>COUNTIF(Канистры!H2:H11,"&gt;0")</f>
        <v>0</v>
      </c>
      <c r="C34" s="25">
        <f>Канистры!K2</f>
        <v>0</v>
      </c>
      <c r="D34" s="14">
        <f>Канистры!L2</f>
        <v>0</v>
      </c>
      <c r="E34" s="14">
        <f t="shared" si="1"/>
        <v>0</v>
      </c>
      <c r="F34" s="28" t="s">
        <v>61</v>
      </c>
      <c r="G34" s="28" t="s">
        <v>61</v>
      </c>
    </row>
    <row r="35" spans="1:7">
      <c r="A35" s="24" t="s">
        <v>68</v>
      </c>
      <c r="B35" s="25">
        <f>COUNTIF('Контейнер для ТКО и ТБО'!F2:F9,"&gt;0")</f>
        <v>0</v>
      </c>
      <c r="C35" s="25">
        <f>'Контейнер для ТКО и ТБО'!J3</f>
        <v>0</v>
      </c>
      <c r="D35" s="14">
        <f>'Контейнер для ТКО и ТБО'!K3</f>
        <v>0</v>
      </c>
      <c r="E35" s="14">
        <f t="shared" si="1"/>
        <v>0</v>
      </c>
      <c r="F35" s="28" t="s">
        <v>61</v>
      </c>
      <c r="G35" s="28" t="s">
        <v>61</v>
      </c>
    </row>
    <row r="36" spans="1:7">
      <c r="A36" s="29" t="s">
        <v>69</v>
      </c>
      <c r="B36" s="30">
        <f t="shared" ref="B36:G36" si="2">SUM(B21:B35)</f>
        <v>0</v>
      </c>
      <c r="C36" s="30">
        <f t="shared" si="2"/>
        <v>0</v>
      </c>
      <c r="D36" s="31">
        <f t="shared" si="2"/>
        <v>0</v>
      </c>
      <c r="E36" s="31">
        <f t="shared" si="2"/>
        <v>0</v>
      </c>
      <c r="F36" s="32">
        <f t="shared" si="2"/>
        <v>0</v>
      </c>
      <c r="G36" s="33">
        <f t="shared" si="2"/>
        <v>0</v>
      </c>
    </row>
    <row r="38" spans="1:7">
      <c r="A38" s="34" t="s">
        <v>70</v>
      </c>
    </row>
  </sheetData>
  <mergeCells count="8">
    <mergeCell ref="I14:L16"/>
    <mergeCell ref="A17:G17"/>
    <mergeCell ref="A19:G19"/>
    <mergeCell ref="A1:L1"/>
    <mergeCell ref="A2:L2"/>
    <mergeCell ref="A4:B4"/>
    <mergeCell ref="I4:L4"/>
    <mergeCell ref="A13:G13"/>
  </mergeCells>
  <conditionalFormatting sqref="I6:L12">
    <cfRule type="expression" dxfId="30" priority="2">
      <formula>$I6=cur_tier</formula>
    </cfRule>
  </conditionalFormatting>
  <conditionalFormatting sqref="A21:G35">
    <cfRule type="expression" dxfId="29" priority="3">
      <formula>$C21&gt;0</formula>
    </cfRule>
  </conditionalFormatting>
  <hyperlinks>
    <hyperlink ref="A21" location="'Кипятильники'!A1" display="Кипятильники"/>
    <hyperlink ref="A22" location="'Термосы эмалированные'!A1" display="Термосы эмалированные"/>
    <hyperlink ref="A23" location="'Термосы нержавеющие'!A1" display="Термосы нержавеющие"/>
    <hyperlink ref="A24" location="'Термосы с краном'!A1" display="Термосы с краном"/>
    <hyperlink ref="A25" location="'Термосы на колесах'!A1" display="Термосы на колесах"/>
    <hyperlink ref="A26" location="'Бидоны'!A1" display="Бидоны"/>
    <hyperlink ref="A27" location="'Баки'!A1" display="Баки"/>
    <hyperlink ref="A28" location="'Подносы'!A1" display="Подносы"/>
    <hyperlink ref="A29" location="'Мармиты'!A1" display="Мармиты"/>
    <hyperlink ref="A30" location="'Сыроварни'!A1" display="Сыроварни"/>
    <hyperlink ref="A31" location="'Дистилляторы'!A1" display="Дистилляторы"/>
    <hyperlink ref="A32" location="'ЦКТ'!A1" display="ЦКТ"/>
    <hyperlink ref="A33" location="'Комплектующие'!A1" display="Комплектующие"/>
    <hyperlink ref="A34" location="'Канистры'!A1" display="Канистры"/>
    <hyperlink ref="A35" location="'Контейнер для ТКО и ТБО'!A1" display="Контейнер для ТКО и ТБО"/>
  </hyperlinks>
  <pageMargins left="0.75" right="0.75" top="1" bottom="1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47"/>
  <sheetViews>
    <sheetView zoomScaleNormal="100" workbookViewId="0">
      <pane ySplit="2" topLeftCell="A3" activePane="bottomLeft" state="frozen"/>
      <selection pane="bottomLeft" activeCell="F3" sqref="F3:F9"/>
    </sheetView>
  </sheetViews>
  <sheetFormatPr defaultColWidth="29.7109375" defaultRowHeight="15"/>
  <cols>
    <col min="1" max="1" width="6.42578125" style="35" customWidth="1"/>
    <col min="2" max="5" width="17.42578125" style="35" customWidth="1"/>
    <col min="6" max="6" width="14.28515625" style="35" customWidth="1"/>
    <col min="7" max="7" width="13.7109375" style="35" customWidth="1"/>
    <col min="8" max="8" width="16.7109375" style="35" customWidth="1"/>
    <col min="9" max="9" width="28" style="35" customWidth="1"/>
    <col min="10" max="10" width="11.140625" style="35" customWidth="1"/>
    <col min="11" max="11" width="13.7109375" style="35" customWidth="1"/>
    <col min="12" max="12" width="12.140625" style="35" customWidth="1"/>
    <col min="13" max="13" width="19.140625" style="35" customWidth="1"/>
    <col min="14" max="14" width="9.140625" style="35" customWidth="1"/>
    <col min="15" max="15" width="12" style="35" customWidth="1"/>
    <col min="16" max="16" width="14" style="35" customWidth="1"/>
    <col min="17" max="16384" width="29.7109375" style="35"/>
  </cols>
  <sheetData>
    <row r="1" spans="1:16" ht="18" customHeight="1">
      <c r="A1" s="129" t="s">
        <v>71</v>
      </c>
      <c r="B1" s="129"/>
      <c r="C1" s="129"/>
      <c r="D1" s="129"/>
      <c r="E1" s="129"/>
      <c r="F1" s="36"/>
      <c r="G1" s="36"/>
    </row>
    <row r="2" spans="1:16" ht="16.5" customHeight="1">
      <c r="A2" s="37" t="s">
        <v>72</v>
      </c>
      <c r="B2" s="37" t="s">
        <v>73</v>
      </c>
      <c r="C2" s="37" t="s">
        <v>74</v>
      </c>
      <c r="D2" s="37" t="s">
        <v>75</v>
      </c>
      <c r="E2" s="38" t="s">
        <v>76</v>
      </c>
      <c r="F2" s="39" t="s">
        <v>77</v>
      </c>
      <c r="G2" s="40" t="s">
        <v>78</v>
      </c>
      <c r="H2" s="41" t="s">
        <v>78</v>
      </c>
      <c r="I2" s="42" t="s">
        <v>34</v>
      </c>
      <c r="J2" s="39" t="s">
        <v>79</v>
      </c>
      <c r="K2" s="40" t="s">
        <v>80</v>
      </c>
      <c r="L2" s="43" t="s">
        <v>34</v>
      </c>
      <c r="M2" s="40" t="s">
        <v>39</v>
      </c>
    </row>
    <row r="3" spans="1:16" ht="15.75" customHeight="1">
      <c r="A3" s="130">
        <v>1</v>
      </c>
      <c r="B3" s="130"/>
      <c r="C3" s="131" t="s">
        <v>81</v>
      </c>
      <c r="D3" s="45" t="str">
        <f>ИТОГО!$K$6</f>
        <v>0-30 000</v>
      </c>
      <c r="E3" s="46">
        <v>17300</v>
      </c>
      <c r="F3" s="132"/>
      <c r="G3" s="133">
        <f>E3*F3</f>
        <v>0</v>
      </c>
      <c r="H3" s="41" t="str">
        <f>ИТОГО!$K$7</f>
        <v>31 000-80 000</v>
      </c>
      <c r="I3" s="49">
        <f>ИТОГО!$L$7</f>
        <v>0.03</v>
      </c>
      <c r="J3" s="50">
        <f>F3+F10+F17+F26+F33+F40+F47+F54+F61+F68+F80</f>
        <v>0</v>
      </c>
      <c r="K3" s="51">
        <f>G3+G10+G17+G26+G33+G40+G47+G54+G61+G68+G80</f>
        <v>0</v>
      </c>
      <c r="L3" s="52">
        <f>cur_rate</f>
        <v>0</v>
      </c>
      <c r="M3" s="51">
        <f>K3-K3*L3</f>
        <v>0</v>
      </c>
    </row>
    <row r="4" spans="1:16" ht="15.75" customHeight="1">
      <c r="A4" s="130"/>
      <c r="B4" s="130"/>
      <c r="C4" s="130"/>
      <c r="D4" s="53" t="str">
        <f>ИТОГО!$K$7</f>
        <v>31 000-80 000</v>
      </c>
      <c r="E4" s="54">
        <f>E3*(1-ИТОГО!$L$7)</f>
        <v>16781</v>
      </c>
      <c r="F4" s="132"/>
      <c r="G4" s="132"/>
      <c r="H4" s="41" t="str">
        <f>ИТОГО!$K$8</f>
        <v>81 000-150 000</v>
      </c>
      <c r="I4" s="49">
        <f>ИТОГО!$L$8</f>
        <v>7.0000000000000007E-2</v>
      </c>
    </row>
    <row r="5" spans="1:16" ht="15.75" customHeight="1">
      <c r="A5" s="130"/>
      <c r="B5" s="130"/>
      <c r="C5" s="130"/>
      <c r="D5" s="53" t="str">
        <f>ИТОГО!$K$8</f>
        <v>81 000-150 000</v>
      </c>
      <c r="E5" s="54">
        <f>E3*(1-ИТОГО!$L$8)</f>
        <v>16088.999999999998</v>
      </c>
      <c r="F5" s="132"/>
      <c r="G5" s="132"/>
      <c r="H5" s="41" t="str">
        <f>ИТОГО!$K$9</f>
        <v>151 000-300 000</v>
      </c>
      <c r="I5" s="49">
        <f>ИТОГО!$L$9</f>
        <v>0.1</v>
      </c>
    </row>
    <row r="6" spans="1:16" ht="15.75" customHeight="1">
      <c r="A6" s="130"/>
      <c r="B6" s="130"/>
      <c r="C6" s="130"/>
      <c r="D6" s="53" t="str">
        <f>ИТОГО!$K$9</f>
        <v>151 000-300 000</v>
      </c>
      <c r="E6" s="54">
        <f>E3*(1-ИТОГО!$L$9)</f>
        <v>15570</v>
      </c>
      <c r="F6" s="132"/>
      <c r="G6" s="132"/>
      <c r="H6" s="41" t="str">
        <f>ИТОГО!$K$10</f>
        <v>301 000-450 000</v>
      </c>
      <c r="I6" s="49">
        <f>ИТОГО!$L$10</f>
        <v>0.13</v>
      </c>
    </row>
    <row r="7" spans="1:16" ht="15.75" customHeight="1">
      <c r="A7" s="130"/>
      <c r="B7" s="130"/>
      <c r="C7" s="130"/>
      <c r="D7" s="53" t="str">
        <f>ИТОГО!$K$10</f>
        <v>301 000-450 000</v>
      </c>
      <c r="E7" s="54">
        <f>E3*(1-ИТОГО!$L$10)</f>
        <v>15051</v>
      </c>
      <c r="F7" s="132"/>
      <c r="G7" s="132"/>
      <c r="H7" s="41" t="str">
        <f>ИТОГО!$K$11</f>
        <v>451 000-600 000</v>
      </c>
      <c r="I7" s="49">
        <f>ИТОГО!$L$11</f>
        <v>0.15</v>
      </c>
    </row>
    <row r="8" spans="1:16" ht="15.75" customHeight="1">
      <c r="A8" s="130"/>
      <c r="B8" s="130"/>
      <c r="C8" s="130"/>
      <c r="D8" s="53" t="str">
        <f>ИТОГО!$K$11</f>
        <v>451 000-600 000</v>
      </c>
      <c r="E8" s="54">
        <f>E3*(1-ИТОГО!$L$11)</f>
        <v>14705</v>
      </c>
      <c r="F8" s="132"/>
      <c r="G8" s="132"/>
      <c r="H8" s="55" t="str">
        <f>ИТОГО!$K$12</f>
        <v>601 000 и выше</v>
      </c>
      <c r="I8" s="56">
        <f>ИТОГО!$L$12</f>
        <v>0.17</v>
      </c>
    </row>
    <row r="9" spans="1:16" ht="15.75" customHeight="1">
      <c r="A9" s="130"/>
      <c r="B9" s="130"/>
      <c r="C9" s="130"/>
      <c r="D9" s="53" t="str">
        <f>ИТОГО!$K$12</f>
        <v>601 000 и выше</v>
      </c>
      <c r="E9" s="54">
        <f>E3*(1-ИТОГО!$L$12)</f>
        <v>14359</v>
      </c>
      <c r="F9" s="132"/>
      <c r="G9" s="132"/>
    </row>
    <row r="10" spans="1:16" ht="15.75" customHeight="1">
      <c r="A10" s="130">
        <v>2</v>
      </c>
      <c r="B10" s="130"/>
      <c r="C10" s="131" t="s">
        <v>82</v>
      </c>
      <c r="D10" s="45" t="str">
        <f>ИТОГО!$K$6</f>
        <v>0-30 000</v>
      </c>
      <c r="E10" s="46">
        <v>18300</v>
      </c>
      <c r="F10" s="132"/>
      <c r="G10" s="133">
        <f>E10*F10</f>
        <v>0</v>
      </c>
      <c r="H10" s="134" t="s">
        <v>83</v>
      </c>
      <c r="I10" s="134"/>
      <c r="J10" s="134"/>
      <c r="K10" s="134"/>
      <c r="L10" s="134"/>
      <c r="M10" s="134"/>
      <c r="N10" s="134"/>
    </row>
    <row r="11" spans="1:16" ht="15.75" customHeight="1">
      <c r="A11" s="130"/>
      <c r="B11" s="130"/>
      <c r="C11" s="130"/>
      <c r="D11" s="53" t="str">
        <f>ИТОГО!$K$7</f>
        <v>31 000-80 000</v>
      </c>
      <c r="E11" s="54">
        <f>E10*(1-ИТОГО!$L$7)</f>
        <v>17751</v>
      </c>
      <c r="F11" s="132"/>
      <c r="G11" s="132"/>
      <c r="H11" s="57" t="s">
        <v>84</v>
      </c>
      <c r="I11" s="57" t="s">
        <v>85</v>
      </c>
      <c r="J11" s="57" t="s">
        <v>86</v>
      </c>
      <c r="K11" s="57" t="s">
        <v>87</v>
      </c>
      <c r="L11" s="57" t="s">
        <v>88</v>
      </c>
      <c r="M11" s="57" t="s">
        <v>89</v>
      </c>
      <c r="N11" s="57" t="s">
        <v>90</v>
      </c>
      <c r="O11" s="57" t="s">
        <v>91</v>
      </c>
      <c r="P11" s="57" t="s">
        <v>92</v>
      </c>
    </row>
    <row r="12" spans="1:16" ht="15.75" customHeight="1">
      <c r="A12" s="130"/>
      <c r="B12" s="130"/>
      <c r="C12" s="130"/>
      <c r="D12" s="53" t="str">
        <f>ИТОГО!$K$8</f>
        <v>81 000-150 000</v>
      </c>
      <c r="E12" s="54">
        <f>E10*(1-ИТОГО!$L$8)</f>
        <v>17019</v>
      </c>
      <c r="F12" s="132"/>
      <c r="G12" s="132"/>
      <c r="H12" s="57">
        <v>1</v>
      </c>
      <c r="I12" s="57" t="s">
        <v>81</v>
      </c>
      <c r="J12" s="57">
        <v>300</v>
      </c>
      <c r="K12" s="57">
        <v>260</v>
      </c>
      <c r="L12" s="57">
        <v>470</v>
      </c>
      <c r="M12" s="58">
        <f>Таблица1[[#This Row],[Длина]]*Таблица1[[#This Row],[Ширина]]*Таблица1[[#This Row],[Высота]]*0.000000001</f>
        <v>3.6660000000000005E-2</v>
      </c>
      <c r="N12" s="58">
        <v>6.5</v>
      </c>
      <c r="O12" s="58">
        <f>Таблица1[[#This Row],[Вес ]]*F3</f>
        <v>0</v>
      </c>
      <c r="P12" s="58">
        <f>Таблица1[[#This Row],[Объем]]*F3</f>
        <v>0</v>
      </c>
    </row>
    <row r="13" spans="1:16" ht="15.75" customHeight="1">
      <c r="A13" s="130"/>
      <c r="B13" s="130"/>
      <c r="C13" s="130"/>
      <c r="D13" s="53" t="str">
        <f>ИТОГО!$K$9</f>
        <v>151 000-300 000</v>
      </c>
      <c r="E13" s="54">
        <f>E10*(1-ИТОГО!$L$9)</f>
        <v>16470</v>
      </c>
      <c r="F13" s="132"/>
      <c r="G13" s="132"/>
      <c r="H13" s="57">
        <v>2</v>
      </c>
      <c r="I13" s="57" t="s">
        <v>93</v>
      </c>
      <c r="J13" s="57">
        <v>370</v>
      </c>
      <c r="K13" s="57">
        <v>320</v>
      </c>
      <c r="L13" s="57">
        <v>680</v>
      </c>
      <c r="M13" s="58">
        <f>Таблица1[[#This Row],[Длина]]*Таблица1[[#This Row],[Ширина]]*Таблица1[[#This Row],[Высота]]*0.000000001</f>
        <v>8.0512E-2</v>
      </c>
      <c r="N13" s="58">
        <v>9.25</v>
      </c>
      <c r="O13" s="58">
        <f>Таблица1[[#This Row],[Вес ]]*F10</f>
        <v>0</v>
      </c>
      <c r="P13" s="58">
        <f>Таблица1[[#This Row],[Объем]]*F10</f>
        <v>0</v>
      </c>
    </row>
    <row r="14" spans="1:16" ht="15.75" customHeight="1">
      <c r="A14" s="130"/>
      <c r="B14" s="130"/>
      <c r="C14" s="130"/>
      <c r="D14" s="53" t="str">
        <f>ИТОГО!$K$10</f>
        <v>301 000-450 000</v>
      </c>
      <c r="E14" s="54">
        <f>E10*(1-ИТОГО!$L$10)</f>
        <v>15921</v>
      </c>
      <c r="F14" s="132"/>
      <c r="G14" s="132"/>
      <c r="H14" s="57">
        <v>3</v>
      </c>
      <c r="I14" s="57" t="s">
        <v>94</v>
      </c>
      <c r="J14" s="57">
        <v>300</v>
      </c>
      <c r="K14" s="57">
        <v>260</v>
      </c>
      <c r="L14" s="57">
        <v>470</v>
      </c>
      <c r="M14" s="58">
        <f>Таблица1[[#This Row],[Длина]]*Таблица1[[#This Row],[Ширина]]*Таблица1[[#This Row],[Высота]]*0.000000001</f>
        <v>3.6660000000000005E-2</v>
      </c>
      <c r="N14" s="58">
        <v>4.8</v>
      </c>
      <c r="O14" s="58">
        <f>Таблица1[[#This Row],[Вес ]]*F17</f>
        <v>0</v>
      </c>
      <c r="P14" s="58">
        <f>Таблица1[[#This Row],[Объем]]*F17</f>
        <v>0</v>
      </c>
    </row>
    <row r="15" spans="1:16" ht="15.75" customHeight="1">
      <c r="A15" s="130"/>
      <c r="B15" s="130"/>
      <c r="C15" s="130"/>
      <c r="D15" s="53" t="str">
        <f>ИТОГО!$K$11</f>
        <v>451 000-600 000</v>
      </c>
      <c r="E15" s="54">
        <f>E10*(1-ИТОГО!$L$11)</f>
        <v>15555</v>
      </c>
      <c r="F15" s="132"/>
      <c r="G15" s="132"/>
      <c r="H15" s="57">
        <v>4</v>
      </c>
      <c r="I15" s="57" t="s">
        <v>95</v>
      </c>
      <c r="J15" s="57">
        <v>300</v>
      </c>
      <c r="K15" s="57">
        <v>260</v>
      </c>
      <c r="L15" s="57">
        <v>470</v>
      </c>
      <c r="M15" s="58">
        <f>Таблица1[[#This Row],[Длина]]*Таблица1[[#This Row],[Ширина]]*Таблица1[[#This Row],[Высота]]*0.000000001</f>
        <v>3.6660000000000005E-2</v>
      </c>
      <c r="N15" s="58">
        <v>3.5</v>
      </c>
      <c r="O15" s="58">
        <f>Таблица1[[#This Row],[Вес ]]*F40</f>
        <v>0</v>
      </c>
      <c r="P15" s="58">
        <f>Таблица1[[#This Row],[Объем]]*F40</f>
        <v>0</v>
      </c>
    </row>
    <row r="16" spans="1:16" ht="15.75" customHeight="1">
      <c r="A16" s="130"/>
      <c r="B16" s="130"/>
      <c r="C16" s="130"/>
      <c r="D16" s="53" t="str">
        <f>ИТОГО!$K$12</f>
        <v>601 000 и выше</v>
      </c>
      <c r="E16" s="54">
        <f>E10*(1-ИТОГО!$L$12)</f>
        <v>15189</v>
      </c>
      <c r="F16" s="132"/>
      <c r="G16" s="132"/>
      <c r="H16" s="57">
        <v>5</v>
      </c>
      <c r="I16" s="57" t="s">
        <v>96</v>
      </c>
      <c r="J16" s="57">
        <v>380</v>
      </c>
      <c r="K16" s="57">
        <v>320</v>
      </c>
      <c r="L16" s="57">
        <v>410</v>
      </c>
      <c r="M16" s="58">
        <f>Таблица1[[#This Row],[Длина]]*Таблица1[[#This Row],[Ширина]]*Таблица1[[#This Row],[Высота]]*0.000000001</f>
        <v>4.9856000000000004E-2</v>
      </c>
      <c r="N16" s="58">
        <v>4.5999999999999996</v>
      </c>
      <c r="O16" s="58">
        <f>Таблица1[[#This Row],[Вес ]]*F47</f>
        <v>0</v>
      </c>
      <c r="P16" s="58">
        <f>Таблица1[[#This Row],[Объем]]*F47</f>
        <v>0</v>
      </c>
    </row>
    <row r="17" spans="1:16" ht="15.75" customHeight="1">
      <c r="A17" s="130">
        <v>3</v>
      </c>
      <c r="B17" s="130"/>
      <c r="C17" s="131" t="s">
        <v>94</v>
      </c>
      <c r="D17" s="45" t="str">
        <f>ИТОГО!$K$6</f>
        <v>0-30 000</v>
      </c>
      <c r="E17" s="46">
        <v>15920</v>
      </c>
      <c r="F17" s="132"/>
      <c r="G17" s="133">
        <f>E17*F17</f>
        <v>0</v>
      </c>
      <c r="H17" s="57">
        <v>6</v>
      </c>
      <c r="I17" s="57" t="s">
        <v>97</v>
      </c>
      <c r="J17" s="57">
        <v>370</v>
      </c>
      <c r="K17" s="57">
        <v>320</v>
      </c>
      <c r="L17" s="57">
        <v>680</v>
      </c>
      <c r="M17" s="58">
        <f>Таблица1[[#This Row],[Длина]]*Таблица1[[#This Row],[Ширина]]*Таблица1[[#This Row],[Высота]]*0.000000001</f>
        <v>8.0512E-2</v>
      </c>
      <c r="N17" s="58">
        <v>5.2</v>
      </c>
      <c r="O17" s="58">
        <f>Таблица1[[#This Row],[Вес ]]*F54</f>
        <v>0</v>
      </c>
      <c r="P17" s="58">
        <f>Таблица1[[#This Row],[Объем]]*F54</f>
        <v>0</v>
      </c>
    </row>
    <row r="18" spans="1:16" ht="15.75" customHeight="1">
      <c r="A18" s="130"/>
      <c r="B18" s="130"/>
      <c r="C18" s="130"/>
      <c r="D18" s="53" t="str">
        <f>ИТОГО!$K$7</f>
        <v>31 000-80 000</v>
      </c>
      <c r="E18" s="54">
        <f>E17*(1-ИТОГО!$L$7)</f>
        <v>15442.4</v>
      </c>
      <c r="F18" s="132"/>
      <c r="G18" s="132"/>
      <c r="H18" s="57">
        <v>7</v>
      </c>
      <c r="I18" s="57" t="s">
        <v>98</v>
      </c>
      <c r="J18" s="57">
        <v>390</v>
      </c>
      <c r="K18" s="57">
        <v>420</v>
      </c>
      <c r="L18" s="57">
        <v>650</v>
      </c>
      <c r="M18" s="58">
        <f>Таблица1[[#This Row],[Длина]]*Таблица1[[#This Row],[Ширина]]*Таблица1[[#This Row],[Высота]]*0.000000001</f>
        <v>0.10647000000000001</v>
      </c>
      <c r="N18" s="58">
        <v>7.1</v>
      </c>
      <c r="O18" s="58">
        <f>Таблица1[[#This Row],[Вес ]]*F61</f>
        <v>0</v>
      </c>
      <c r="P18" s="58">
        <f>Таблица1[[#This Row],[Объем]]*F61</f>
        <v>0</v>
      </c>
    </row>
    <row r="19" spans="1:16" ht="15.75" customHeight="1">
      <c r="A19" s="130"/>
      <c r="B19" s="130"/>
      <c r="C19" s="130"/>
      <c r="D19" s="53" t="str">
        <f>ИТОГО!$K$8</f>
        <v>81 000-150 000</v>
      </c>
      <c r="E19" s="54">
        <f>E17*(1-ИТОГО!$L$8)</f>
        <v>14805.599999999999</v>
      </c>
      <c r="F19" s="132"/>
      <c r="G19" s="132"/>
      <c r="H19" s="57">
        <v>8</v>
      </c>
      <c r="I19" s="57" t="s">
        <v>99</v>
      </c>
      <c r="J19" s="57">
        <v>420</v>
      </c>
      <c r="K19" s="57">
        <v>420</v>
      </c>
      <c r="L19" s="57">
        <v>1050</v>
      </c>
      <c r="M19" s="58">
        <f>Таблица1[[#This Row],[Длина]]*Таблица1[[#This Row],[Ширина]]*Таблица1[[#This Row],[Высота]]*0.000000001</f>
        <v>0.18522000000000002</v>
      </c>
      <c r="N19" s="58">
        <v>7.9</v>
      </c>
      <c r="O19" s="58">
        <f>Таблица1[[#This Row],[Вес ]]*F68</f>
        <v>0</v>
      </c>
      <c r="P19" s="58">
        <f>Таблица1[[#This Row],[Объем]]*F68</f>
        <v>0</v>
      </c>
    </row>
    <row r="20" spans="1:16" ht="15.75" customHeight="1">
      <c r="A20" s="130"/>
      <c r="B20" s="130"/>
      <c r="C20" s="130"/>
      <c r="D20" s="53" t="str">
        <f>ИТОГО!$K$9</f>
        <v>151 000-300 000</v>
      </c>
      <c r="E20" s="54">
        <f>E17*(1-ИТОГО!$L$9)</f>
        <v>14328</v>
      </c>
      <c r="F20" s="132"/>
      <c r="G20" s="132"/>
      <c r="H20" s="59"/>
      <c r="I20" s="59"/>
      <c r="J20" s="59"/>
      <c r="K20" s="59"/>
      <c r="L20" s="59"/>
      <c r="M20" s="59"/>
      <c r="N20" s="59"/>
      <c r="O20" s="59"/>
      <c r="P20" s="59"/>
    </row>
    <row r="21" spans="1:16" ht="15.75" customHeight="1">
      <c r="A21" s="130"/>
      <c r="B21" s="130"/>
      <c r="C21" s="130"/>
      <c r="D21" s="53" t="str">
        <f>ИТОГО!$K$10</f>
        <v>301 000-450 000</v>
      </c>
      <c r="E21" s="54">
        <f>E17*(1-ИТОГО!$L$10)</f>
        <v>13850.4</v>
      </c>
      <c r="F21" s="132"/>
      <c r="G21" s="132"/>
      <c r="H21" s="59"/>
      <c r="I21" s="59"/>
      <c r="J21" s="59"/>
      <c r="K21" s="59"/>
      <c r="L21" s="59"/>
      <c r="M21" s="59"/>
      <c r="N21" s="57" t="s">
        <v>100</v>
      </c>
      <c r="O21" s="58">
        <f>SUM(O12:O19)</f>
        <v>0</v>
      </c>
      <c r="P21" s="58">
        <f>SUM(P12:P19)</f>
        <v>0</v>
      </c>
    </row>
    <row r="22" spans="1:16" ht="15.75" customHeight="1">
      <c r="A22" s="130"/>
      <c r="B22" s="130"/>
      <c r="C22" s="130"/>
      <c r="D22" s="53" t="str">
        <f>ИТОГО!$K$11</f>
        <v>451 000-600 000</v>
      </c>
      <c r="E22" s="54">
        <f>E17*(1-ИТОГО!$L$11)</f>
        <v>13532</v>
      </c>
      <c r="F22" s="132"/>
      <c r="G22" s="132"/>
      <c r="H22" s="59"/>
      <c r="I22" s="60" t="s">
        <v>101</v>
      </c>
      <c r="J22" s="59"/>
      <c r="K22" s="59"/>
      <c r="L22" s="59"/>
      <c r="M22" s="59"/>
      <c r="N22" s="59"/>
      <c r="O22" s="36"/>
      <c r="P22" s="36"/>
    </row>
    <row r="23" spans="1:16" ht="15.75" customHeight="1">
      <c r="A23" s="130"/>
      <c r="B23" s="130"/>
      <c r="C23" s="130"/>
      <c r="D23" s="53" t="str">
        <f>ИТОГО!$K$12</f>
        <v>601 000 и выше</v>
      </c>
      <c r="E23" s="54">
        <f>E17*(1-ИТОГО!$L$12)</f>
        <v>13213.599999999999</v>
      </c>
      <c r="F23" s="132"/>
      <c r="G23" s="132"/>
      <c r="H23" s="61" t="s">
        <v>84</v>
      </c>
      <c r="I23" s="61" t="s">
        <v>85</v>
      </c>
      <c r="J23" s="61" t="s">
        <v>86</v>
      </c>
      <c r="K23" s="61" t="s">
        <v>87</v>
      </c>
      <c r="L23" s="61" t="s">
        <v>88</v>
      </c>
      <c r="M23" s="61" t="s">
        <v>102</v>
      </c>
      <c r="N23" s="59"/>
      <c r="O23" s="36"/>
      <c r="P23" s="36"/>
    </row>
    <row r="24" spans="1:16" ht="30" customHeight="1">
      <c r="A24" s="135" t="s">
        <v>103</v>
      </c>
      <c r="B24" s="135"/>
      <c r="C24" s="135"/>
      <c r="D24" s="135"/>
      <c r="E24" s="135"/>
      <c r="F24" s="36"/>
      <c r="G24" s="36"/>
      <c r="H24" s="61">
        <v>1</v>
      </c>
      <c r="I24" s="61" t="s">
        <v>81</v>
      </c>
      <c r="J24" s="61" t="s">
        <v>104</v>
      </c>
      <c r="K24" s="61" t="s">
        <v>105</v>
      </c>
      <c r="L24" s="61" t="s">
        <v>106</v>
      </c>
      <c r="M24" s="62">
        <v>5.8</v>
      </c>
      <c r="N24" s="59"/>
      <c r="O24" s="36"/>
      <c r="P24" s="36"/>
    </row>
    <row r="25" spans="1:16" ht="18" customHeight="1">
      <c r="A25" s="63" t="s">
        <v>72</v>
      </c>
      <c r="B25" s="63" t="s">
        <v>73</v>
      </c>
      <c r="C25" s="63" t="s">
        <v>74</v>
      </c>
      <c r="D25" s="37" t="s">
        <v>75</v>
      </c>
      <c r="E25" s="38" t="s">
        <v>107</v>
      </c>
      <c r="F25" s="39" t="s">
        <v>77</v>
      </c>
      <c r="G25" s="40" t="s">
        <v>78</v>
      </c>
      <c r="H25" s="61">
        <v>2</v>
      </c>
      <c r="I25" s="61" t="s">
        <v>93</v>
      </c>
      <c r="J25" s="61" t="s">
        <v>108</v>
      </c>
      <c r="K25" s="61" t="s">
        <v>109</v>
      </c>
      <c r="L25" s="61" t="s">
        <v>110</v>
      </c>
      <c r="M25" s="62">
        <v>8.56</v>
      </c>
      <c r="N25" s="59"/>
      <c r="O25" s="36"/>
      <c r="P25" s="36"/>
    </row>
    <row r="26" spans="1:16" ht="15.75" customHeight="1">
      <c r="A26" s="136">
        <v>1</v>
      </c>
      <c r="B26" s="136"/>
      <c r="C26" s="137" t="s">
        <v>111</v>
      </c>
      <c r="D26" s="45" t="str">
        <f>ИТОГО!$K$6</f>
        <v>0-30 000</v>
      </c>
      <c r="E26" s="46">
        <v>9100</v>
      </c>
      <c r="F26" s="132"/>
      <c r="G26" s="133">
        <f>E26*F26</f>
        <v>0</v>
      </c>
      <c r="H26" s="61">
        <v>3</v>
      </c>
      <c r="I26" s="61" t="s">
        <v>94</v>
      </c>
      <c r="J26" s="61" t="s">
        <v>104</v>
      </c>
      <c r="K26" s="61" t="s">
        <v>105</v>
      </c>
      <c r="L26" s="61" t="s">
        <v>106</v>
      </c>
      <c r="M26" s="62">
        <v>4.4000000000000004</v>
      </c>
      <c r="N26" s="59"/>
      <c r="O26" s="36"/>
      <c r="P26" s="36"/>
    </row>
    <row r="27" spans="1:16" ht="15.75" customHeight="1">
      <c r="A27" s="136"/>
      <c r="B27" s="136"/>
      <c r="C27" s="136"/>
      <c r="D27" s="53" t="str">
        <f>ИТОГО!$K$7</f>
        <v>31 000-80 000</v>
      </c>
      <c r="E27" s="54">
        <f>E26*(1-ИТОГО!$L$7)</f>
        <v>8827</v>
      </c>
      <c r="F27" s="132"/>
      <c r="G27" s="132"/>
      <c r="H27" s="61">
        <v>4</v>
      </c>
      <c r="I27" s="61" t="s">
        <v>95</v>
      </c>
      <c r="J27" s="61" t="s">
        <v>112</v>
      </c>
      <c r="K27" s="61" t="s">
        <v>105</v>
      </c>
      <c r="L27" s="61" t="s">
        <v>113</v>
      </c>
      <c r="M27" s="62">
        <v>2.9</v>
      </c>
      <c r="N27" s="59"/>
      <c r="O27" s="36"/>
      <c r="P27" s="36"/>
    </row>
    <row r="28" spans="1:16" ht="15.75" customHeight="1">
      <c r="A28" s="136"/>
      <c r="B28" s="136"/>
      <c r="C28" s="136"/>
      <c r="D28" s="53" t="str">
        <f>ИТОГО!$K$8</f>
        <v>81 000-150 000</v>
      </c>
      <c r="E28" s="54">
        <f>E26*(1-ИТОГО!$L$8)</f>
        <v>8463</v>
      </c>
      <c r="F28" s="132"/>
      <c r="G28" s="132"/>
      <c r="H28" s="61">
        <v>5</v>
      </c>
      <c r="I28" s="61" t="s">
        <v>96</v>
      </c>
      <c r="J28" s="61" t="s">
        <v>106</v>
      </c>
      <c r="K28" s="61" t="s">
        <v>109</v>
      </c>
      <c r="L28" s="61" t="s">
        <v>114</v>
      </c>
      <c r="M28" s="62">
        <v>4</v>
      </c>
      <c r="N28" s="59"/>
      <c r="O28" s="36"/>
      <c r="P28" s="36"/>
    </row>
    <row r="29" spans="1:16" ht="15.75" customHeight="1">
      <c r="A29" s="136"/>
      <c r="B29" s="136"/>
      <c r="C29" s="136"/>
      <c r="D29" s="53" t="str">
        <f>ИТОГО!$K$9</f>
        <v>151 000-300 000</v>
      </c>
      <c r="E29" s="54">
        <f>E26*(1-ИТОГО!$L$9)</f>
        <v>8190</v>
      </c>
      <c r="F29" s="132"/>
      <c r="G29" s="132"/>
      <c r="H29" s="61">
        <v>6</v>
      </c>
      <c r="I29" s="61" t="s">
        <v>97</v>
      </c>
      <c r="J29" s="61" t="s">
        <v>106</v>
      </c>
      <c r="K29" s="61" t="s">
        <v>109</v>
      </c>
      <c r="L29" s="61" t="s">
        <v>115</v>
      </c>
      <c r="M29" s="62">
        <v>4.5</v>
      </c>
      <c r="N29" s="59"/>
      <c r="O29" s="36"/>
      <c r="P29" s="36"/>
    </row>
    <row r="30" spans="1:16" ht="15.75" customHeight="1">
      <c r="A30" s="136"/>
      <c r="B30" s="136"/>
      <c r="C30" s="136"/>
      <c r="D30" s="53" t="str">
        <f>ИТОГО!$K$10</f>
        <v>301 000-450 000</v>
      </c>
      <c r="E30" s="54">
        <f>E26*(1-ИТОГО!$L$10)</f>
        <v>7917</v>
      </c>
      <c r="F30" s="132"/>
      <c r="G30" s="132"/>
      <c r="H30" s="66">
        <v>7</v>
      </c>
      <c r="I30" s="66" t="s">
        <v>98</v>
      </c>
      <c r="J30" s="66" t="s">
        <v>116</v>
      </c>
      <c r="K30" s="66" t="s">
        <v>117</v>
      </c>
      <c r="L30" s="66" t="s">
        <v>118</v>
      </c>
      <c r="M30" s="67">
        <v>6.1</v>
      </c>
      <c r="N30" s="59"/>
      <c r="O30" s="36"/>
      <c r="P30" s="36"/>
    </row>
    <row r="31" spans="1:16" ht="15.75" customHeight="1">
      <c r="A31" s="136"/>
      <c r="B31" s="136"/>
      <c r="C31" s="136"/>
      <c r="D31" s="53" t="str">
        <f>ИТОГО!$K$11</f>
        <v>451 000-600 000</v>
      </c>
      <c r="E31" s="54">
        <f>E26*(1-ИТОГО!$L$11)</f>
        <v>7735</v>
      </c>
      <c r="F31" s="132"/>
      <c r="G31" s="132"/>
      <c r="H31" s="66">
        <v>8</v>
      </c>
      <c r="I31" s="66" t="s">
        <v>99</v>
      </c>
      <c r="J31" s="66" t="s">
        <v>116</v>
      </c>
      <c r="K31" s="66" t="s">
        <v>117</v>
      </c>
      <c r="L31" s="66" t="s">
        <v>119</v>
      </c>
      <c r="M31" s="67">
        <v>6.6</v>
      </c>
      <c r="N31" s="59"/>
      <c r="O31" s="36"/>
      <c r="P31" s="36"/>
    </row>
    <row r="32" spans="1:16" ht="15.75" customHeight="1">
      <c r="A32" s="136"/>
      <c r="B32" s="136"/>
      <c r="C32" s="136"/>
      <c r="D32" s="53" t="str">
        <f>ИТОГО!$K$12</f>
        <v>601 000 и выше</v>
      </c>
      <c r="E32" s="54">
        <f>E26*(1-ИТОГО!$L$12)</f>
        <v>7553</v>
      </c>
      <c r="F32" s="132"/>
      <c r="G32" s="132"/>
    </row>
    <row r="33" spans="1:7" ht="15.75" customHeight="1">
      <c r="A33" s="136">
        <v>2</v>
      </c>
      <c r="B33" s="136"/>
      <c r="C33" s="137" t="s">
        <v>120</v>
      </c>
      <c r="D33" s="45" t="str">
        <f>ИТОГО!$K$6</f>
        <v>0-30 000</v>
      </c>
      <c r="E33" s="46">
        <v>9490</v>
      </c>
      <c r="F33" s="132"/>
      <c r="G33" s="133">
        <f>E33*F33</f>
        <v>0</v>
      </c>
    </row>
    <row r="34" spans="1:7" ht="15.75" customHeight="1">
      <c r="A34" s="136"/>
      <c r="B34" s="136"/>
      <c r="C34" s="136"/>
      <c r="D34" s="53" t="str">
        <f>ИТОГО!$K$7</f>
        <v>31 000-80 000</v>
      </c>
      <c r="E34" s="54">
        <f>E33*(1-ИТОГО!$L$7)</f>
        <v>9205.2999999999993</v>
      </c>
      <c r="F34" s="132"/>
      <c r="G34" s="132"/>
    </row>
    <row r="35" spans="1:7" ht="15.75" customHeight="1">
      <c r="A35" s="136"/>
      <c r="B35" s="136"/>
      <c r="C35" s="136"/>
      <c r="D35" s="53" t="str">
        <f>ИТОГО!$K$8</f>
        <v>81 000-150 000</v>
      </c>
      <c r="E35" s="54">
        <f>E33*(1-ИТОГО!$L$8)</f>
        <v>8825.6999999999989</v>
      </c>
      <c r="F35" s="132"/>
      <c r="G35" s="132"/>
    </row>
    <row r="36" spans="1:7" ht="15.75" customHeight="1">
      <c r="A36" s="136"/>
      <c r="B36" s="136"/>
      <c r="C36" s="136"/>
      <c r="D36" s="53" t="str">
        <f>ИТОГО!$K$9</f>
        <v>151 000-300 000</v>
      </c>
      <c r="E36" s="54">
        <f>E33*(1-ИТОГО!$L$9)</f>
        <v>8541</v>
      </c>
      <c r="F36" s="132"/>
      <c r="G36" s="132"/>
    </row>
    <row r="37" spans="1:7" ht="15.75" customHeight="1">
      <c r="A37" s="136"/>
      <c r="B37" s="136"/>
      <c r="C37" s="136"/>
      <c r="D37" s="53" t="str">
        <f>ИТОГО!$K$10</f>
        <v>301 000-450 000</v>
      </c>
      <c r="E37" s="54">
        <f>E33*(1-ИТОГО!$L$10)</f>
        <v>8256.2999999999993</v>
      </c>
      <c r="F37" s="132"/>
      <c r="G37" s="132"/>
    </row>
    <row r="38" spans="1:7" ht="15.75" customHeight="1">
      <c r="A38" s="136"/>
      <c r="B38" s="136"/>
      <c r="C38" s="136"/>
      <c r="D38" s="53" t="str">
        <f>ИТОГО!$K$11</f>
        <v>451 000-600 000</v>
      </c>
      <c r="E38" s="54">
        <f>E33*(1-ИТОГО!$L$11)</f>
        <v>8066.5</v>
      </c>
      <c r="F38" s="132"/>
      <c r="G38" s="132"/>
    </row>
    <row r="39" spans="1:7" ht="15.75" customHeight="1">
      <c r="A39" s="136"/>
      <c r="B39" s="136"/>
      <c r="C39" s="136"/>
      <c r="D39" s="53" t="str">
        <f>ИТОГО!$K$12</f>
        <v>601 000 и выше</v>
      </c>
      <c r="E39" s="54">
        <f>E33*(1-ИТОГО!$L$12)</f>
        <v>7876.7</v>
      </c>
      <c r="F39" s="132"/>
      <c r="G39" s="132"/>
    </row>
    <row r="40" spans="1:7" ht="15.75" customHeight="1">
      <c r="A40" s="136">
        <v>3</v>
      </c>
      <c r="B40" s="136"/>
      <c r="C40" s="137" t="s">
        <v>95</v>
      </c>
      <c r="D40" s="45" t="str">
        <f>ИТОГО!$K$6</f>
        <v>0-30 000</v>
      </c>
      <c r="E40" s="46">
        <v>9920</v>
      </c>
      <c r="F40" s="132"/>
      <c r="G40" s="133">
        <f>E40*F40</f>
        <v>0</v>
      </c>
    </row>
    <row r="41" spans="1:7" ht="15.75" customHeight="1">
      <c r="A41" s="136"/>
      <c r="B41" s="136"/>
      <c r="C41" s="136"/>
      <c r="D41" s="53" t="str">
        <f>ИТОГО!$K$7</f>
        <v>31 000-80 000</v>
      </c>
      <c r="E41" s="54">
        <f>E40*(1-ИТОГО!$L$7)</f>
        <v>9622.4</v>
      </c>
      <c r="F41" s="132"/>
      <c r="G41" s="132"/>
    </row>
    <row r="42" spans="1:7" ht="15.75" customHeight="1">
      <c r="A42" s="136"/>
      <c r="B42" s="136"/>
      <c r="C42" s="136"/>
      <c r="D42" s="53" t="str">
        <f>ИТОГО!$K$8</f>
        <v>81 000-150 000</v>
      </c>
      <c r="E42" s="54">
        <f>E40*(1-ИТОГО!$L$8)</f>
        <v>9225.5999999999985</v>
      </c>
      <c r="F42" s="132"/>
      <c r="G42" s="132"/>
    </row>
    <row r="43" spans="1:7" ht="15.75" customHeight="1">
      <c r="A43" s="136"/>
      <c r="B43" s="136"/>
      <c r="C43" s="136"/>
      <c r="D43" s="53" t="str">
        <f>ИТОГО!$K$9</f>
        <v>151 000-300 000</v>
      </c>
      <c r="E43" s="54">
        <f>E40*(1-ИТОГО!$L$9)</f>
        <v>8928</v>
      </c>
      <c r="F43" s="132"/>
      <c r="G43" s="132"/>
    </row>
    <row r="44" spans="1:7" ht="15.75" customHeight="1">
      <c r="A44" s="136"/>
      <c r="B44" s="136"/>
      <c r="C44" s="136"/>
      <c r="D44" s="53" t="str">
        <f>ИТОГО!$K$10</f>
        <v>301 000-450 000</v>
      </c>
      <c r="E44" s="54">
        <f>E40*(1-ИТОГО!$L$10)</f>
        <v>8630.4</v>
      </c>
      <c r="F44" s="132"/>
      <c r="G44" s="132"/>
    </row>
    <row r="45" spans="1:7" ht="15.75" customHeight="1">
      <c r="A45" s="136"/>
      <c r="B45" s="136"/>
      <c r="C45" s="136"/>
      <c r="D45" s="53" t="str">
        <f>ИТОГО!$K$11</f>
        <v>451 000-600 000</v>
      </c>
      <c r="E45" s="54">
        <f>E40*(1-ИТОГО!$L$11)</f>
        <v>8432</v>
      </c>
      <c r="F45" s="132"/>
      <c r="G45" s="132"/>
    </row>
    <row r="46" spans="1:7" ht="15.75" customHeight="1">
      <c r="A46" s="136"/>
      <c r="B46" s="136"/>
      <c r="C46" s="136"/>
      <c r="D46" s="53" t="str">
        <f>ИТОГО!$K$12</f>
        <v>601 000 и выше</v>
      </c>
      <c r="E46" s="54">
        <f>E40*(1-ИТОГО!$L$12)</f>
        <v>8233.6</v>
      </c>
      <c r="F46" s="132"/>
      <c r="G46" s="132"/>
    </row>
    <row r="47" spans="1:7" ht="15.75" customHeight="1">
      <c r="A47" s="136">
        <v>4</v>
      </c>
      <c r="B47" s="136"/>
      <c r="C47" s="137" t="s">
        <v>96</v>
      </c>
      <c r="D47" s="45" t="str">
        <f>ИТОГО!$K$6</f>
        <v>0-30 000</v>
      </c>
      <c r="E47" s="46">
        <v>10230</v>
      </c>
      <c r="F47" s="132"/>
      <c r="G47" s="133">
        <f>E47*F47</f>
        <v>0</v>
      </c>
    </row>
    <row r="48" spans="1:7" ht="15.75" customHeight="1">
      <c r="A48" s="136"/>
      <c r="B48" s="136"/>
      <c r="C48" s="136"/>
      <c r="D48" s="53" t="str">
        <f>ИТОГО!$K$7</f>
        <v>31 000-80 000</v>
      </c>
      <c r="E48" s="54">
        <f>E47*(1-ИТОГО!$L$7)</f>
        <v>9923.1</v>
      </c>
      <c r="F48" s="132"/>
      <c r="G48" s="132"/>
    </row>
    <row r="49" spans="1:7" ht="15.75" customHeight="1">
      <c r="A49" s="136"/>
      <c r="B49" s="136"/>
      <c r="C49" s="136"/>
      <c r="D49" s="53" t="str">
        <f>ИТОГО!$K$8</f>
        <v>81 000-150 000</v>
      </c>
      <c r="E49" s="54">
        <f>E47*(1-ИТОГО!$L$8)</f>
        <v>9513.9</v>
      </c>
      <c r="F49" s="132"/>
      <c r="G49" s="132"/>
    </row>
    <row r="50" spans="1:7" ht="15.75" customHeight="1">
      <c r="A50" s="136"/>
      <c r="B50" s="136"/>
      <c r="C50" s="136"/>
      <c r="D50" s="53" t="str">
        <f>ИТОГО!$K$9</f>
        <v>151 000-300 000</v>
      </c>
      <c r="E50" s="54">
        <f>E47*(1-ИТОГО!$L$9)</f>
        <v>9207</v>
      </c>
      <c r="F50" s="132"/>
      <c r="G50" s="132"/>
    </row>
    <row r="51" spans="1:7" ht="15.75" customHeight="1">
      <c r="A51" s="136"/>
      <c r="B51" s="136"/>
      <c r="C51" s="136"/>
      <c r="D51" s="53" t="str">
        <f>ИТОГО!$K$10</f>
        <v>301 000-450 000</v>
      </c>
      <c r="E51" s="54">
        <f>E47*(1-ИТОГО!$L$10)</f>
        <v>8900.1</v>
      </c>
      <c r="F51" s="132"/>
      <c r="G51" s="132"/>
    </row>
    <row r="52" spans="1:7" ht="15.75" customHeight="1">
      <c r="A52" s="136"/>
      <c r="B52" s="136"/>
      <c r="C52" s="136"/>
      <c r="D52" s="53" t="str">
        <f>ИТОГО!$K$11</f>
        <v>451 000-600 000</v>
      </c>
      <c r="E52" s="54">
        <f>E47*(1-ИТОГО!$L$11)</f>
        <v>8695.5</v>
      </c>
      <c r="F52" s="132"/>
      <c r="G52" s="132"/>
    </row>
    <row r="53" spans="1:7" ht="15.75" customHeight="1">
      <c r="A53" s="136"/>
      <c r="B53" s="136"/>
      <c r="C53" s="136"/>
      <c r="D53" s="53" t="str">
        <f>ИТОГО!$K$12</f>
        <v>601 000 и выше</v>
      </c>
      <c r="E53" s="54">
        <f>E47*(1-ИТОГО!$L$12)</f>
        <v>8490.9</v>
      </c>
      <c r="F53" s="132"/>
      <c r="G53" s="132"/>
    </row>
    <row r="54" spans="1:7" ht="15.75" customHeight="1">
      <c r="A54" s="136">
        <v>5</v>
      </c>
      <c r="B54" s="136"/>
      <c r="C54" s="137" t="s">
        <v>97</v>
      </c>
      <c r="D54" s="45" t="str">
        <f>ИТОГО!$K$6</f>
        <v>0-30 000</v>
      </c>
      <c r="E54" s="46">
        <v>11210</v>
      </c>
      <c r="F54" s="132"/>
      <c r="G54" s="133">
        <f>E54*F54</f>
        <v>0</v>
      </c>
    </row>
    <row r="55" spans="1:7" ht="15.75" customHeight="1">
      <c r="A55" s="136"/>
      <c r="B55" s="136"/>
      <c r="C55" s="136"/>
      <c r="D55" s="53" t="str">
        <f>ИТОГО!$K$7</f>
        <v>31 000-80 000</v>
      </c>
      <c r="E55" s="54">
        <f>E54*(1-ИТОГО!$L$7)</f>
        <v>10873.699999999999</v>
      </c>
      <c r="F55" s="132"/>
      <c r="G55" s="132"/>
    </row>
    <row r="56" spans="1:7" ht="15.75" customHeight="1">
      <c r="A56" s="136"/>
      <c r="B56" s="136"/>
      <c r="C56" s="136"/>
      <c r="D56" s="53" t="str">
        <f>ИТОГО!$K$8</f>
        <v>81 000-150 000</v>
      </c>
      <c r="E56" s="54">
        <f>E54*(1-ИТОГО!$L$8)</f>
        <v>10425.299999999999</v>
      </c>
      <c r="F56" s="132"/>
      <c r="G56" s="132"/>
    </row>
    <row r="57" spans="1:7" ht="15.75" customHeight="1">
      <c r="A57" s="136"/>
      <c r="B57" s="136"/>
      <c r="C57" s="136"/>
      <c r="D57" s="53" t="str">
        <f>ИТОГО!$K$9</f>
        <v>151 000-300 000</v>
      </c>
      <c r="E57" s="54">
        <f>E54*(1-ИТОГО!$L$9)</f>
        <v>10089</v>
      </c>
      <c r="F57" s="132"/>
      <c r="G57" s="132"/>
    </row>
    <row r="58" spans="1:7" ht="15.75" customHeight="1">
      <c r="A58" s="136"/>
      <c r="B58" s="136"/>
      <c r="C58" s="136"/>
      <c r="D58" s="53" t="str">
        <f>ИТОГО!$K$10</f>
        <v>301 000-450 000</v>
      </c>
      <c r="E58" s="54">
        <f>E54*(1-ИТОГО!$L$10)</f>
        <v>9752.7000000000007</v>
      </c>
      <c r="F58" s="132"/>
      <c r="G58" s="132"/>
    </row>
    <row r="59" spans="1:7" ht="15.75" customHeight="1">
      <c r="A59" s="136"/>
      <c r="B59" s="136"/>
      <c r="C59" s="136"/>
      <c r="D59" s="53" t="str">
        <f>ИТОГО!$K$11</f>
        <v>451 000-600 000</v>
      </c>
      <c r="E59" s="54">
        <f>E54*(1-ИТОГО!$L$11)</f>
        <v>9528.5</v>
      </c>
      <c r="F59" s="132"/>
      <c r="G59" s="132"/>
    </row>
    <row r="60" spans="1:7" ht="15.75" customHeight="1">
      <c r="A60" s="136"/>
      <c r="B60" s="136"/>
      <c r="C60" s="136"/>
      <c r="D60" s="53" t="str">
        <f>ИТОГО!$K$12</f>
        <v>601 000 и выше</v>
      </c>
      <c r="E60" s="54">
        <f>E54*(1-ИТОГО!$L$12)</f>
        <v>9304.2999999999993</v>
      </c>
      <c r="F60" s="132"/>
      <c r="G60" s="132"/>
    </row>
    <row r="61" spans="1:7" ht="15.75" customHeight="1">
      <c r="A61" s="136">
        <v>6</v>
      </c>
      <c r="B61" s="136"/>
      <c r="C61" s="137" t="s">
        <v>98</v>
      </c>
      <c r="D61" s="45" t="str">
        <f>ИТОГО!$K$6</f>
        <v>0-30 000</v>
      </c>
      <c r="E61" s="46">
        <v>12800</v>
      </c>
      <c r="F61" s="132"/>
      <c r="G61" s="133">
        <f>E61*F61</f>
        <v>0</v>
      </c>
    </row>
    <row r="62" spans="1:7" ht="15.75" customHeight="1">
      <c r="A62" s="136"/>
      <c r="B62" s="136"/>
      <c r="C62" s="136"/>
      <c r="D62" s="53" t="str">
        <f>ИТОГО!$K$7</f>
        <v>31 000-80 000</v>
      </c>
      <c r="E62" s="54">
        <f>E61*(1-ИТОГО!$L$7)</f>
        <v>12416</v>
      </c>
      <c r="F62" s="132"/>
      <c r="G62" s="132"/>
    </row>
    <row r="63" spans="1:7" ht="15.75" customHeight="1">
      <c r="A63" s="136"/>
      <c r="B63" s="136"/>
      <c r="C63" s="136"/>
      <c r="D63" s="53" t="str">
        <f>ИТОГО!$K$8</f>
        <v>81 000-150 000</v>
      </c>
      <c r="E63" s="54">
        <f>E61*(1-ИТОГО!$L$8)</f>
        <v>11904</v>
      </c>
      <c r="F63" s="132"/>
      <c r="G63" s="132"/>
    </row>
    <row r="64" spans="1:7" ht="15.75" customHeight="1">
      <c r="A64" s="136"/>
      <c r="B64" s="136"/>
      <c r="C64" s="136"/>
      <c r="D64" s="53" t="str">
        <f>ИТОГО!$K$9</f>
        <v>151 000-300 000</v>
      </c>
      <c r="E64" s="54">
        <f>E61*(1-ИТОГО!$L$9)</f>
        <v>11520</v>
      </c>
      <c r="F64" s="132"/>
      <c r="G64" s="132"/>
    </row>
    <row r="65" spans="1:7" ht="15.75" customHeight="1">
      <c r="A65" s="136"/>
      <c r="B65" s="136"/>
      <c r="C65" s="136"/>
      <c r="D65" s="53" t="str">
        <f>ИТОГО!$K$10</f>
        <v>301 000-450 000</v>
      </c>
      <c r="E65" s="54">
        <f>E61*(1-ИТОГО!$L$10)</f>
        <v>11136</v>
      </c>
      <c r="F65" s="132"/>
      <c r="G65" s="132"/>
    </row>
    <row r="66" spans="1:7" ht="15.75" customHeight="1">
      <c r="A66" s="136"/>
      <c r="B66" s="136"/>
      <c r="C66" s="136"/>
      <c r="D66" s="53" t="str">
        <f>ИТОГО!$K$11</f>
        <v>451 000-600 000</v>
      </c>
      <c r="E66" s="54">
        <f>E61*(1-ИТОГО!$L$11)</f>
        <v>10880</v>
      </c>
      <c r="F66" s="132"/>
      <c r="G66" s="132"/>
    </row>
    <row r="67" spans="1:7" ht="15.75" customHeight="1">
      <c r="A67" s="136"/>
      <c r="B67" s="136"/>
      <c r="C67" s="136"/>
      <c r="D67" s="53" t="str">
        <f>ИТОГО!$K$12</f>
        <v>601 000 и выше</v>
      </c>
      <c r="E67" s="54">
        <f>E61*(1-ИТОГО!$L$12)</f>
        <v>10624</v>
      </c>
      <c r="F67" s="132"/>
      <c r="G67" s="132"/>
    </row>
    <row r="68" spans="1:7" ht="15.75" customHeight="1">
      <c r="A68" s="136">
        <v>7</v>
      </c>
      <c r="B68" s="136"/>
      <c r="C68" s="137" t="s">
        <v>99</v>
      </c>
      <c r="D68" s="45" t="str">
        <f>ИТОГО!$K$6</f>
        <v>0-30 000</v>
      </c>
      <c r="E68" s="46">
        <v>13500</v>
      </c>
      <c r="F68" s="132"/>
      <c r="G68" s="133">
        <f>E68*F68</f>
        <v>0</v>
      </c>
    </row>
    <row r="69" spans="1:7" ht="15.75" customHeight="1">
      <c r="A69" s="136"/>
      <c r="B69" s="136"/>
      <c r="C69" s="136"/>
      <c r="D69" s="53" t="str">
        <f>ИТОГО!$K$7</f>
        <v>31 000-80 000</v>
      </c>
      <c r="E69" s="54">
        <f>E68*(1-ИТОГО!$L$7)</f>
        <v>13095</v>
      </c>
      <c r="F69" s="132"/>
      <c r="G69" s="132"/>
    </row>
    <row r="70" spans="1:7" ht="15.75" customHeight="1">
      <c r="A70" s="136"/>
      <c r="B70" s="136"/>
      <c r="C70" s="136"/>
      <c r="D70" s="53" t="str">
        <f>ИТОГО!$K$8</f>
        <v>81 000-150 000</v>
      </c>
      <c r="E70" s="54">
        <f>E68*(1-ИТОГО!$L$8)</f>
        <v>12555</v>
      </c>
      <c r="F70" s="132"/>
      <c r="G70" s="132"/>
    </row>
    <row r="71" spans="1:7" ht="15.75" customHeight="1">
      <c r="A71" s="136"/>
      <c r="B71" s="136"/>
      <c r="C71" s="136"/>
      <c r="D71" s="53" t="str">
        <f>ИТОГО!$K$9</f>
        <v>151 000-300 000</v>
      </c>
      <c r="E71" s="54">
        <f>E68*(1-ИТОГО!$L$9)</f>
        <v>12150</v>
      </c>
      <c r="F71" s="132"/>
      <c r="G71" s="132"/>
    </row>
    <row r="72" spans="1:7" ht="15.75" customHeight="1">
      <c r="A72" s="136"/>
      <c r="B72" s="136"/>
      <c r="C72" s="136"/>
      <c r="D72" s="53" t="str">
        <f>ИТОГО!$K$10</f>
        <v>301 000-450 000</v>
      </c>
      <c r="E72" s="54">
        <f>E68*(1-ИТОГО!$L$10)</f>
        <v>11745</v>
      </c>
      <c r="F72" s="132"/>
      <c r="G72" s="132"/>
    </row>
    <row r="73" spans="1:7" ht="15.75" customHeight="1">
      <c r="A73" s="136"/>
      <c r="B73" s="136"/>
      <c r="C73" s="136"/>
      <c r="D73" s="53" t="str">
        <f>ИТОГО!$K$11</f>
        <v>451 000-600 000</v>
      </c>
      <c r="E73" s="54">
        <f>E68*(1-ИТОГО!$L$11)</f>
        <v>11475</v>
      </c>
      <c r="F73" s="132"/>
      <c r="G73" s="132"/>
    </row>
    <row r="74" spans="1:7" ht="15.75" customHeight="1">
      <c r="A74" s="136"/>
      <c r="B74" s="136"/>
      <c r="C74" s="136"/>
      <c r="D74" s="53" t="str">
        <f>ИТОГО!$K$12</f>
        <v>601 000 и выше</v>
      </c>
      <c r="E74" s="54">
        <f>E68*(1-ИТОГО!$L$12)</f>
        <v>11205</v>
      </c>
      <c r="F74" s="132"/>
      <c r="G74" s="132"/>
    </row>
    <row r="75" spans="1:7" ht="12.75" customHeight="1">
      <c r="A75" s="68"/>
      <c r="B75" s="68"/>
      <c r="C75" s="68"/>
      <c r="D75" s="68"/>
      <c r="E75" s="68"/>
    </row>
    <row r="76" spans="1:7" ht="34.5" customHeight="1">
      <c r="A76" s="68"/>
      <c r="B76" s="68"/>
      <c r="C76" s="68"/>
      <c r="D76" s="68"/>
      <c r="E76" s="68"/>
    </row>
    <row r="77" spans="1:7">
      <c r="A77" s="68"/>
      <c r="B77" s="68"/>
      <c r="C77" s="68"/>
      <c r="D77" s="68"/>
      <c r="E77" s="68"/>
    </row>
    <row r="78" spans="1:7" ht="38.25" customHeight="1">
      <c r="A78" s="138" t="s">
        <v>121</v>
      </c>
      <c r="B78" s="138"/>
      <c r="C78" s="138"/>
      <c r="D78" s="138"/>
      <c r="E78" s="138"/>
    </row>
    <row r="79" spans="1:7" ht="15.75" customHeight="1">
      <c r="A79" s="63" t="s">
        <v>84</v>
      </c>
      <c r="B79" s="63" t="s">
        <v>73</v>
      </c>
      <c r="C79" s="63" t="s">
        <v>74</v>
      </c>
      <c r="D79" s="63" t="s">
        <v>122</v>
      </c>
      <c r="E79" s="63" t="s">
        <v>76</v>
      </c>
      <c r="F79" s="39" t="s">
        <v>77</v>
      </c>
      <c r="G79" s="40" t="s">
        <v>78</v>
      </c>
    </row>
    <row r="80" spans="1:7" ht="81.75" customHeight="1">
      <c r="A80" s="64">
        <v>1</v>
      </c>
      <c r="B80" s="64"/>
      <c r="C80" s="65" t="s">
        <v>123</v>
      </c>
      <c r="D80" s="64" t="s">
        <v>124</v>
      </c>
      <c r="E80" s="54">
        <v>2750</v>
      </c>
      <c r="F80" s="47"/>
      <c r="G80" s="48">
        <f>E80*F80</f>
        <v>0</v>
      </c>
    </row>
    <row r="81" spans="1:7">
      <c r="A81" s="68"/>
      <c r="B81" s="68"/>
      <c r="C81" s="68"/>
      <c r="D81" s="68"/>
      <c r="E81" s="69"/>
    </row>
    <row r="82" spans="1:7" ht="15.75" customHeight="1">
      <c r="A82" s="138" t="s">
        <v>125</v>
      </c>
      <c r="B82" s="138"/>
      <c r="C82" s="138"/>
      <c r="D82" s="138"/>
      <c r="E82" s="138"/>
    </row>
    <row r="83" spans="1:7" ht="64.5" customHeight="1">
      <c r="A83" s="63" t="s">
        <v>126</v>
      </c>
      <c r="B83" s="63"/>
      <c r="C83" s="63" t="s">
        <v>86</v>
      </c>
      <c r="D83" s="63" t="s">
        <v>87</v>
      </c>
      <c r="E83" s="63" t="s">
        <v>88</v>
      </c>
      <c r="F83" s="70"/>
      <c r="G83" s="70"/>
    </row>
    <row r="84" spans="1:7" ht="15.75" customHeight="1">
      <c r="A84" s="64" t="s">
        <v>127</v>
      </c>
      <c r="B84" s="64"/>
      <c r="C84" s="64">
        <v>380</v>
      </c>
      <c r="D84" s="64">
        <v>380</v>
      </c>
      <c r="E84" s="64">
        <v>405</v>
      </c>
      <c r="F84" s="71"/>
      <c r="G84" s="71"/>
    </row>
    <row r="104" ht="32.25" customHeight="1"/>
    <row r="142" ht="42" customHeight="1"/>
    <row r="149" ht="38.25" customHeight="1"/>
    <row r="155" ht="43.5" customHeight="1"/>
    <row r="174" ht="35.25" customHeight="1"/>
    <row r="388" ht="30.75" customHeight="1"/>
    <row r="411" ht="15.75" customHeight="1"/>
    <row r="532" ht="45" customHeight="1"/>
    <row r="533" ht="31.5" customHeight="1"/>
    <row r="541" ht="132.75" customHeight="1"/>
    <row r="547" ht="29.25" customHeight="1"/>
  </sheetData>
  <mergeCells count="55">
    <mergeCell ref="A78:E78"/>
    <mergeCell ref="A82:E82"/>
    <mergeCell ref="A68:A74"/>
    <mergeCell ref="B68:B74"/>
    <mergeCell ref="C68:C74"/>
    <mergeCell ref="F68:F74"/>
    <mergeCell ref="G68:G74"/>
    <mergeCell ref="A61:A67"/>
    <mergeCell ref="B61:B67"/>
    <mergeCell ref="C61:C67"/>
    <mergeCell ref="F61:F67"/>
    <mergeCell ref="G61:G67"/>
    <mergeCell ref="A54:A60"/>
    <mergeCell ref="B54:B60"/>
    <mergeCell ref="C54:C60"/>
    <mergeCell ref="F54:F60"/>
    <mergeCell ref="G54:G60"/>
    <mergeCell ref="A47:A53"/>
    <mergeCell ref="B47:B53"/>
    <mergeCell ref="C47:C53"/>
    <mergeCell ref="F47:F53"/>
    <mergeCell ref="G47:G53"/>
    <mergeCell ref="A40:A46"/>
    <mergeCell ref="B40:B46"/>
    <mergeCell ref="C40:C46"/>
    <mergeCell ref="F40:F46"/>
    <mergeCell ref="G40:G46"/>
    <mergeCell ref="G26:G32"/>
    <mergeCell ref="A33:A39"/>
    <mergeCell ref="B33:B39"/>
    <mergeCell ref="C33:C39"/>
    <mergeCell ref="F33:F39"/>
    <mergeCell ref="G33:G39"/>
    <mergeCell ref="A24:E24"/>
    <mergeCell ref="A26:A32"/>
    <mergeCell ref="B26:B32"/>
    <mergeCell ref="C26:C32"/>
    <mergeCell ref="F26:F32"/>
    <mergeCell ref="H10:N10"/>
    <mergeCell ref="A17:A23"/>
    <mergeCell ref="B17:B23"/>
    <mergeCell ref="C17:C23"/>
    <mergeCell ref="F17:F23"/>
    <mergeCell ref="G17:G23"/>
    <mergeCell ref="G3:G9"/>
    <mergeCell ref="A10:A16"/>
    <mergeCell ref="B10:B16"/>
    <mergeCell ref="C10:C16"/>
    <mergeCell ref="F10:F16"/>
    <mergeCell ref="G10:G16"/>
    <mergeCell ref="A1:E1"/>
    <mergeCell ref="A3:A9"/>
    <mergeCell ref="B3:B9"/>
    <mergeCell ref="C3:C9"/>
    <mergeCell ref="F3:F9"/>
  </mergeCells>
  <conditionalFormatting sqref="H3:I8">
    <cfRule type="expression" dxfId="28" priority="2">
      <formula>$H3=cur_label</formula>
    </cfRule>
  </conditionalFormatting>
  <conditionalFormatting sqref="D3:E84">
    <cfRule type="expression" dxfId="27" priority="3">
      <formula>AND($D3&lt;&gt;"",$D3=cur_label)</formula>
    </cfRule>
  </conditionalFormatting>
  <hyperlinks>
    <hyperlink ref="C3" r:id="rId1"/>
    <hyperlink ref="C10" r:id="rId2"/>
    <hyperlink ref="C17" r:id="rId3"/>
    <hyperlink ref="C26" r:id="rId4"/>
    <hyperlink ref="C33" r:id="rId5"/>
    <hyperlink ref="C40" r:id="rId6"/>
    <hyperlink ref="C47" r:id="rId7"/>
    <hyperlink ref="C54" r:id="rId8"/>
    <hyperlink ref="C61" r:id="rId9"/>
    <hyperlink ref="C68" r:id="rId10"/>
    <hyperlink ref="C80" r:id="rId11"/>
  </hyperlinks>
  <printOptions horizontalCentered="1" verticalCentered="1"/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  <drawing r:id="rId12"/>
  <tableParts count="3">
    <tablePart r:id="rId13"/>
    <tablePart r:id="rId14"/>
    <tablePart r:id="rId15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6"/>
  <sheetViews>
    <sheetView zoomScaleNormal="100" workbookViewId="0">
      <pane ySplit="2" topLeftCell="A3" activePane="bottomLeft" state="frozen"/>
      <selection pane="bottomLeft" sqref="A1:E1"/>
    </sheetView>
  </sheetViews>
  <sheetFormatPr defaultColWidth="8.5703125" defaultRowHeight="15"/>
  <cols>
    <col min="1" max="1" width="5.85546875" style="1" customWidth="1"/>
    <col min="2" max="5" width="17.42578125" style="1" customWidth="1"/>
    <col min="6" max="6" width="14.28515625" style="1" customWidth="1"/>
    <col min="7" max="7" width="12.140625" style="1" customWidth="1"/>
    <col min="8" max="8" width="17.85546875" style="1" customWidth="1"/>
    <col min="9" max="9" width="28.7109375" style="1" customWidth="1"/>
    <col min="10" max="10" width="12.85546875" style="1" customWidth="1"/>
    <col min="11" max="11" width="13.7109375" style="1" customWidth="1"/>
    <col min="12" max="12" width="17.28515625" style="1" customWidth="1"/>
    <col min="13" max="13" width="19.140625" style="1" customWidth="1"/>
    <col min="15" max="15" width="12.42578125" style="1" customWidth="1"/>
    <col min="16" max="16" width="14.28515625" style="1" customWidth="1"/>
  </cols>
  <sheetData>
    <row r="1" spans="1:16" ht="21.75" customHeight="1">
      <c r="A1" s="138" t="s">
        <v>128</v>
      </c>
      <c r="B1" s="138"/>
      <c r="C1" s="138"/>
      <c r="D1" s="138"/>
      <c r="E1" s="138"/>
      <c r="F1" s="72"/>
      <c r="G1" s="72"/>
      <c r="H1" s="72"/>
      <c r="I1" s="72"/>
    </row>
    <row r="2" spans="1:16" ht="15.75" customHeight="1">
      <c r="A2" s="63" t="s">
        <v>84</v>
      </c>
      <c r="B2" s="63" t="s">
        <v>73</v>
      </c>
      <c r="C2" s="63" t="s">
        <v>74</v>
      </c>
      <c r="D2" s="37" t="s">
        <v>75</v>
      </c>
      <c r="E2" s="63" t="s">
        <v>76</v>
      </c>
      <c r="F2" s="39" t="s">
        <v>77</v>
      </c>
      <c r="G2" s="40" t="s">
        <v>78</v>
      </c>
      <c r="H2" s="42" t="s">
        <v>78</v>
      </c>
      <c r="I2" s="42" t="s">
        <v>34</v>
      </c>
      <c r="J2" s="39" t="s">
        <v>79</v>
      </c>
      <c r="K2" s="40" t="s">
        <v>80</v>
      </c>
      <c r="L2" s="43" t="s">
        <v>34</v>
      </c>
      <c r="M2" s="40" t="s">
        <v>39</v>
      </c>
    </row>
    <row r="3" spans="1:16" ht="15.75" customHeight="1">
      <c r="A3" s="136">
        <v>1</v>
      </c>
      <c r="B3" s="136"/>
      <c r="C3" s="137" t="s">
        <v>129</v>
      </c>
      <c r="D3" s="73" t="str">
        <f>ИТОГО!$K$6</f>
        <v>0-30 000</v>
      </c>
      <c r="E3" s="46">
        <v>6100</v>
      </c>
      <c r="F3" s="132"/>
      <c r="G3" s="133">
        <f>E3*F3</f>
        <v>0</v>
      </c>
      <c r="H3" s="41" t="str">
        <f>ИТОГО!$K$7</f>
        <v>31 000-80 000</v>
      </c>
      <c r="I3" s="49">
        <f>ИТОГО!$L$7</f>
        <v>0.03</v>
      </c>
      <c r="J3" s="50">
        <f>F3+F10+F17+F24+F31+F38+F45+F52</f>
        <v>0</v>
      </c>
      <c r="K3" s="51">
        <f>G3+G10+G17+G24+G31+G38+G45+G52</f>
        <v>0</v>
      </c>
      <c r="L3" s="52">
        <f>cur_rate</f>
        <v>0</v>
      </c>
      <c r="M3" s="51">
        <f>K3-K3*L3</f>
        <v>0</v>
      </c>
    </row>
    <row r="4" spans="1:16" ht="15.75" customHeight="1">
      <c r="A4" s="136"/>
      <c r="B4" s="136"/>
      <c r="C4" s="136"/>
      <c r="D4" s="44" t="str">
        <f>ИТОГО!$K$7</f>
        <v>31 000-80 000</v>
      </c>
      <c r="E4" s="54">
        <f>E3*(1-ИТОГО!$L$7)</f>
        <v>5917</v>
      </c>
      <c r="F4" s="132"/>
      <c r="G4" s="132"/>
      <c r="H4" s="41" t="str">
        <f>ИТОГО!$K$8</f>
        <v>81 000-150 000</v>
      </c>
      <c r="I4" s="49">
        <f>ИТОГО!$L$8</f>
        <v>7.0000000000000007E-2</v>
      </c>
    </row>
    <row r="5" spans="1:16" ht="15.75" customHeight="1">
      <c r="A5" s="136"/>
      <c r="B5" s="136"/>
      <c r="C5" s="136"/>
      <c r="D5" s="44" t="str">
        <f>ИТОГО!$K$8</f>
        <v>81 000-150 000</v>
      </c>
      <c r="E5" s="54">
        <f>E3*(1-ИТОГО!$L$8)</f>
        <v>5673</v>
      </c>
      <c r="F5" s="132"/>
      <c r="G5" s="132"/>
      <c r="H5" s="41" t="str">
        <f>ИТОГО!$K$9</f>
        <v>151 000-300 000</v>
      </c>
      <c r="I5" s="49">
        <f>ИТОГО!$L$9</f>
        <v>0.1</v>
      </c>
    </row>
    <row r="6" spans="1:16" ht="15.75" customHeight="1">
      <c r="A6" s="136"/>
      <c r="B6" s="136"/>
      <c r="C6" s="136"/>
      <c r="D6" s="44" t="str">
        <f>ИТОГО!$K$9</f>
        <v>151 000-300 000</v>
      </c>
      <c r="E6" s="54">
        <f>E3*(1-ИТОГО!$L$9)</f>
        <v>5490</v>
      </c>
      <c r="F6" s="132"/>
      <c r="G6" s="132"/>
      <c r="H6" s="41" t="str">
        <f>ИТОГО!$K$10</f>
        <v>301 000-450 000</v>
      </c>
      <c r="I6" s="49">
        <f>ИТОГО!$L$10</f>
        <v>0.13</v>
      </c>
    </row>
    <row r="7" spans="1:16" ht="15.75" customHeight="1">
      <c r="A7" s="136"/>
      <c r="B7" s="136"/>
      <c r="C7" s="136"/>
      <c r="D7" s="44" t="str">
        <f>ИТОГО!$K$10</f>
        <v>301 000-450 000</v>
      </c>
      <c r="E7" s="54">
        <f>E3*(1-ИТОГО!$L$10)</f>
        <v>5307</v>
      </c>
      <c r="F7" s="132"/>
      <c r="G7" s="132"/>
      <c r="H7" s="41" t="str">
        <f>ИТОГО!$K$11</f>
        <v>451 000-600 000</v>
      </c>
      <c r="I7" s="49">
        <f>ИТОГО!$L$11</f>
        <v>0.15</v>
      </c>
    </row>
    <row r="8" spans="1:16" ht="15.75" customHeight="1">
      <c r="A8" s="136"/>
      <c r="B8" s="136"/>
      <c r="C8" s="136"/>
      <c r="D8" s="44" t="str">
        <f>ИТОГО!$K$11</f>
        <v>451 000-600 000</v>
      </c>
      <c r="E8" s="54">
        <f>E3*(1-ИТОГО!$L$11)</f>
        <v>5185</v>
      </c>
      <c r="F8" s="132"/>
      <c r="G8" s="132"/>
      <c r="H8" s="55" t="str">
        <f>ИТОГО!$K$12</f>
        <v>601 000 и выше</v>
      </c>
      <c r="I8" s="56">
        <f>ИТОГО!$L$12</f>
        <v>0.17</v>
      </c>
    </row>
    <row r="9" spans="1:16" ht="15.75" customHeight="1">
      <c r="A9" s="136"/>
      <c r="B9" s="136"/>
      <c r="C9" s="136"/>
      <c r="D9" s="44" t="str">
        <f>ИТОГО!$K$12</f>
        <v>601 000 и выше</v>
      </c>
      <c r="E9" s="54">
        <f>E3*(1-ИТОГО!$L$12)</f>
        <v>5063</v>
      </c>
      <c r="F9" s="132"/>
      <c r="G9" s="132"/>
      <c r="H9" s="72"/>
      <c r="I9" s="72"/>
    </row>
    <row r="10" spans="1:16" ht="15.75" customHeight="1">
      <c r="A10" s="136">
        <v>2</v>
      </c>
      <c r="B10" s="136"/>
      <c r="C10" s="137" t="s">
        <v>130</v>
      </c>
      <c r="D10" s="73" t="str">
        <f>ИТОГО!$K$6</f>
        <v>0-30 000</v>
      </c>
      <c r="E10" s="46">
        <v>6200</v>
      </c>
      <c r="F10" s="132"/>
      <c r="G10" s="133">
        <f>E10*F10</f>
        <v>0</v>
      </c>
      <c r="H10" s="139" t="s">
        <v>83</v>
      </c>
      <c r="I10" s="139"/>
      <c r="J10" s="139"/>
      <c r="K10" s="139"/>
      <c r="L10" s="139"/>
      <c r="M10" s="139"/>
      <c r="N10" s="139"/>
    </row>
    <row r="11" spans="1:16" ht="15.75" customHeight="1">
      <c r="A11" s="136"/>
      <c r="B11" s="136"/>
      <c r="C11" s="136"/>
      <c r="D11" s="44" t="str">
        <f>ИТОГО!$K$7</f>
        <v>31 000-80 000</v>
      </c>
      <c r="E11" s="54">
        <f>E10*(1-ИТОГО!$L$7)</f>
        <v>6014</v>
      </c>
      <c r="F11" s="132"/>
      <c r="G11" s="132"/>
      <c r="H11" s="57" t="s">
        <v>84</v>
      </c>
      <c r="I11" s="57" t="s">
        <v>74</v>
      </c>
      <c r="J11" s="57" t="s">
        <v>86</v>
      </c>
      <c r="K11" s="57" t="s">
        <v>87</v>
      </c>
      <c r="L11" s="57" t="s">
        <v>88</v>
      </c>
      <c r="M11" s="57" t="s">
        <v>89</v>
      </c>
      <c r="N11" s="57" t="s">
        <v>102</v>
      </c>
      <c r="O11" s="57" t="s">
        <v>131</v>
      </c>
      <c r="P11" s="57" t="s">
        <v>92</v>
      </c>
    </row>
    <row r="12" spans="1:16" ht="15.75" customHeight="1">
      <c r="A12" s="136"/>
      <c r="B12" s="136"/>
      <c r="C12" s="136"/>
      <c r="D12" s="44" t="str">
        <f>ИТОГО!$K$8</f>
        <v>81 000-150 000</v>
      </c>
      <c r="E12" s="54">
        <f>E10*(1-ИТОГО!$L$8)</f>
        <v>5766</v>
      </c>
      <c r="F12" s="132"/>
      <c r="G12" s="132"/>
      <c r="H12" s="57">
        <v>1</v>
      </c>
      <c r="I12" s="57" t="s">
        <v>129</v>
      </c>
      <c r="J12" s="57">
        <v>330</v>
      </c>
      <c r="K12" s="57">
        <v>330</v>
      </c>
      <c r="L12" s="57">
        <v>280</v>
      </c>
      <c r="M12" s="58">
        <f t="shared" ref="M12:M19" si="0">J12*K12*L12*0.000000001</f>
        <v>3.0492000000000002E-2</v>
      </c>
      <c r="N12" s="58">
        <v>4.5</v>
      </c>
      <c r="O12" s="58">
        <f>N12*F3</f>
        <v>0</v>
      </c>
      <c r="P12" s="58">
        <f>M12*F3</f>
        <v>0</v>
      </c>
    </row>
    <row r="13" spans="1:16" ht="15.75" customHeight="1">
      <c r="A13" s="136"/>
      <c r="B13" s="136"/>
      <c r="C13" s="136"/>
      <c r="D13" s="44" t="str">
        <f>ИТОГО!$K$9</f>
        <v>151 000-300 000</v>
      </c>
      <c r="E13" s="54">
        <f>E10*(1-ИТОГО!$L$9)</f>
        <v>5580</v>
      </c>
      <c r="F13" s="132"/>
      <c r="G13" s="132"/>
      <c r="H13" s="57">
        <v>2</v>
      </c>
      <c r="I13" s="57" t="s">
        <v>130</v>
      </c>
      <c r="J13" s="57">
        <v>330</v>
      </c>
      <c r="K13" s="57">
        <v>330</v>
      </c>
      <c r="L13" s="57">
        <v>280</v>
      </c>
      <c r="M13" s="58">
        <f t="shared" si="0"/>
        <v>3.0492000000000002E-2</v>
      </c>
      <c r="N13" s="58">
        <v>4.9000000000000004</v>
      </c>
      <c r="O13" s="58">
        <f>N13*F10</f>
        <v>0</v>
      </c>
      <c r="P13" s="58">
        <f>M13*F10</f>
        <v>0</v>
      </c>
    </row>
    <row r="14" spans="1:16" ht="15.75" customHeight="1">
      <c r="A14" s="136"/>
      <c r="B14" s="136"/>
      <c r="C14" s="136"/>
      <c r="D14" s="44" t="str">
        <f>ИТОГО!$K$10</f>
        <v>301 000-450 000</v>
      </c>
      <c r="E14" s="54">
        <f>E10*(1-ИТОГО!$L$10)</f>
        <v>5394</v>
      </c>
      <c r="F14" s="132"/>
      <c r="G14" s="132"/>
      <c r="H14" s="57">
        <v>3</v>
      </c>
      <c r="I14" s="57" t="s">
        <v>132</v>
      </c>
      <c r="J14" s="57">
        <v>330</v>
      </c>
      <c r="K14" s="57">
        <v>330</v>
      </c>
      <c r="L14" s="57">
        <v>330</v>
      </c>
      <c r="M14" s="58">
        <f t="shared" si="0"/>
        <v>3.5937000000000004E-2</v>
      </c>
      <c r="N14" s="58">
        <v>5.3</v>
      </c>
      <c r="O14" s="58">
        <f>N14*F17</f>
        <v>0</v>
      </c>
      <c r="P14" s="58">
        <f>M14*F17</f>
        <v>0</v>
      </c>
    </row>
    <row r="15" spans="1:16" ht="15.75" customHeight="1">
      <c r="A15" s="136"/>
      <c r="B15" s="136"/>
      <c r="C15" s="136"/>
      <c r="D15" s="44" t="str">
        <f>ИТОГО!$K$11</f>
        <v>451 000-600 000</v>
      </c>
      <c r="E15" s="54">
        <f>E10*(1-ИТОГО!$L$11)</f>
        <v>5270</v>
      </c>
      <c r="F15" s="132"/>
      <c r="G15" s="132"/>
      <c r="H15" s="57">
        <v>4</v>
      </c>
      <c r="I15" s="57" t="s">
        <v>133</v>
      </c>
      <c r="J15" s="57">
        <v>330</v>
      </c>
      <c r="K15" s="57">
        <v>330</v>
      </c>
      <c r="L15" s="57">
        <v>410</v>
      </c>
      <c r="M15" s="58">
        <f t="shared" si="0"/>
        <v>4.4649000000000001E-2</v>
      </c>
      <c r="N15" s="58">
        <v>6</v>
      </c>
      <c r="O15" s="58">
        <f>N15*F24</f>
        <v>0</v>
      </c>
      <c r="P15" s="58">
        <f>M15*F24</f>
        <v>0</v>
      </c>
    </row>
    <row r="16" spans="1:16" ht="15.75" customHeight="1">
      <c r="A16" s="136"/>
      <c r="B16" s="136"/>
      <c r="C16" s="136"/>
      <c r="D16" s="44" t="str">
        <f>ИТОГО!$K$12</f>
        <v>601 000 и выше</v>
      </c>
      <c r="E16" s="54">
        <f>E10*(1-ИТОГО!$L$12)</f>
        <v>5146</v>
      </c>
      <c r="F16" s="132"/>
      <c r="G16" s="132"/>
      <c r="H16" s="57">
        <v>5</v>
      </c>
      <c r="I16" s="74" t="s">
        <v>134</v>
      </c>
      <c r="J16" s="57">
        <v>380</v>
      </c>
      <c r="K16" s="57">
        <v>330</v>
      </c>
      <c r="L16" s="57">
        <v>410</v>
      </c>
      <c r="M16" s="58">
        <f t="shared" si="0"/>
        <v>5.1414000000000001E-2</v>
      </c>
      <c r="N16" s="58">
        <v>6.6</v>
      </c>
      <c r="O16" s="58">
        <f>N16*F31</f>
        <v>0</v>
      </c>
      <c r="P16" s="58">
        <f>M16*F31</f>
        <v>0</v>
      </c>
    </row>
    <row r="17" spans="1:16" ht="15.75" customHeight="1">
      <c r="A17" s="136">
        <v>3</v>
      </c>
      <c r="B17" s="136"/>
      <c r="C17" s="137" t="s">
        <v>132</v>
      </c>
      <c r="D17" s="73" t="str">
        <f>ИТОГО!$K$6</f>
        <v>0-30 000</v>
      </c>
      <c r="E17" s="46">
        <v>6800</v>
      </c>
      <c r="F17" s="132"/>
      <c r="G17" s="133">
        <f>E17*F17</f>
        <v>0</v>
      </c>
      <c r="H17" s="57">
        <v>6</v>
      </c>
      <c r="I17" s="57" t="s">
        <v>135</v>
      </c>
      <c r="J17" s="57">
        <v>370</v>
      </c>
      <c r="K17" s="57">
        <v>330</v>
      </c>
      <c r="L17" s="57">
        <v>560</v>
      </c>
      <c r="M17" s="58">
        <f t="shared" si="0"/>
        <v>6.8376000000000006E-2</v>
      </c>
      <c r="N17" s="58">
        <v>7.8</v>
      </c>
      <c r="O17" s="58">
        <f>N17*F38</f>
        <v>0</v>
      </c>
      <c r="P17" s="58">
        <f>M17*F38</f>
        <v>0</v>
      </c>
    </row>
    <row r="18" spans="1:16" ht="15.75" customHeight="1">
      <c r="A18" s="136"/>
      <c r="B18" s="136"/>
      <c r="C18" s="136"/>
      <c r="D18" s="44" t="str">
        <f>ИТОГО!$K$7</f>
        <v>31 000-80 000</v>
      </c>
      <c r="E18" s="54">
        <f>E17*(1-ИТОГО!$L$7)</f>
        <v>6596</v>
      </c>
      <c r="F18" s="132"/>
      <c r="G18" s="132"/>
      <c r="H18" s="57">
        <v>7</v>
      </c>
      <c r="I18" s="57" t="s">
        <v>136</v>
      </c>
      <c r="J18" s="57">
        <v>400</v>
      </c>
      <c r="K18" s="57">
        <v>420</v>
      </c>
      <c r="L18" s="57">
        <v>500</v>
      </c>
      <c r="M18" s="58">
        <f t="shared" si="0"/>
        <v>8.4000000000000005E-2</v>
      </c>
      <c r="N18" s="58">
        <v>9.4</v>
      </c>
      <c r="O18" s="58">
        <f>N18*F45</f>
        <v>0</v>
      </c>
      <c r="P18" s="58">
        <f>M18*F45</f>
        <v>0</v>
      </c>
    </row>
    <row r="19" spans="1:16" ht="15.75" customHeight="1">
      <c r="A19" s="136"/>
      <c r="B19" s="136"/>
      <c r="C19" s="136"/>
      <c r="D19" s="44" t="str">
        <f>ИТОГО!$K$8</f>
        <v>81 000-150 000</v>
      </c>
      <c r="E19" s="54">
        <f>E17*(1-ИТОГО!$L$8)</f>
        <v>6324</v>
      </c>
      <c r="F19" s="132"/>
      <c r="G19" s="132"/>
      <c r="H19" s="57">
        <v>8</v>
      </c>
      <c r="I19" s="57" t="s">
        <v>137</v>
      </c>
      <c r="J19" s="57">
        <v>390</v>
      </c>
      <c r="K19" s="57">
        <v>420</v>
      </c>
      <c r="L19" s="57">
        <v>650</v>
      </c>
      <c r="M19" s="58">
        <f t="shared" si="0"/>
        <v>0.10647000000000001</v>
      </c>
      <c r="N19" s="75">
        <v>11.3</v>
      </c>
      <c r="O19" s="58">
        <f>N19*F52</f>
        <v>0</v>
      </c>
      <c r="P19" s="58">
        <f>M19*F52</f>
        <v>0</v>
      </c>
    </row>
    <row r="20" spans="1:16" ht="15.75" customHeight="1">
      <c r="A20" s="136"/>
      <c r="B20" s="136"/>
      <c r="C20" s="136"/>
      <c r="D20" s="44" t="str">
        <f>ИТОГО!$K$9</f>
        <v>151 000-300 000</v>
      </c>
      <c r="E20" s="54">
        <f>E17*(1-ИТОГО!$L$9)</f>
        <v>6120</v>
      </c>
      <c r="F20" s="132"/>
      <c r="G20" s="132"/>
      <c r="H20" s="140" t="s">
        <v>138</v>
      </c>
      <c r="I20" s="140"/>
      <c r="J20" s="140"/>
      <c r="K20" s="140"/>
      <c r="L20" s="140"/>
      <c r="M20" s="59"/>
      <c r="N20" s="57" t="s">
        <v>100</v>
      </c>
      <c r="O20" s="58">
        <f>SUM(O12:O19)</f>
        <v>0</v>
      </c>
      <c r="P20" s="58">
        <f>SUM(P12:P19)</f>
        <v>0</v>
      </c>
    </row>
    <row r="21" spans="1:16" ht="15.75" customHeight="1">
      <c r="A21" s="136"/>
      <c r="B21" s="136"/>
      <c r="C21" s="136"/>
      <c r="D21" s="44" t="str">
        <f>ИТОГО!$K$10</f>
        <v>301 000-450 000</v>
      </c>
      <c r="E21" s="54">
        <f>E17*(1-ИТОГО!$L$10)</f>
        <v>5916</v>
      </c>
      <c r="F21" s="132"/>
      <c r="G21" s="132"/>
      <c r="H21" s="57" t="s">
        <v>84</v>
      </c>
      <c r="I21" s="57" t="s">
        <v>74</v>
      </c>
      <c r="J21" s="57" t="s">
        <v>86</v>
      </c>
      <c r="K21" s="57" t="s">
        <v>87</v>
      </c>
      <c r="L21" s="57" t="s">
        <v>88</v>
      </c>
      <c r="M21" s="57" t="s">
        <v>102</v>
      </c>
    </row>
    <row r="22" spans="1:16" ht="15.75" customHeight="1">
      <c r="A22" s="136"/>
      <c r="B22" s="136"/>
      <c r="C22" s="136"/>
      <c r="D22" s="44" t="str">
        <f>ИТОГО!$K$11</f>
        <v>451 000-600 000</v>
      </c>
      <c r="E22" s="54">
        <f>E17*(1-ИТОГО!$L$11)</f>
        <v>5780</v>
      </c>
      <c r="F22" s="132"/>
      <c r="G22" s="132"/>
      <c r="H22" s="57">
        <v>1</v>
      </c>
      <c r="I22" s="57" t="s">
        <v>129</v>
      </c>
      <c r="J22" s="57" t="s">
        <v>139</v>
      </c>
      <c r="K22" s="57" t="s">
        <v>139</v>
      </c>
      <c r="L22" s="57" t="s">
        <v>105</v>
      </c>
      <c r="M22" s="58">
        <v>4.0999999999999996</v>
      </c>
    </row>
    <row r="23" spans="1:16" ht="15.75" customHeight="1">
      <c r="A23" s="136"/>
      <c r="B23" s="136"/>
      <c r="C23" s="136"/>
      <c r="D23" s="44" t="str">
        <f>ИТОГО!$K$12</f>
        <v>601 000 и выше</v>
      </c>
      <c r="E23" s="54">
        <f>E17*(1-ИТОГО!$L$12)</f>
        <v>5644</v>
      </c>
      <c r="F23" s="132"/>
      <c r="G23" s="132"/>
      <c r="H23" s="57">
        <v>2</v>
      </c>
      <c r="I23" s="57" t="s">
        <v>130</v>
      </c>
      <c r="J23" s="57" t="s">
        <v>139</v>
      </c>
      <c r="K23" s="57" t="s">
        <v>139</v>
      </c>
      <c r="L23" s="57" t="s">
        <v>140</v>
      </c>
      <c r="M23" s="58">
        <v>4.5</v>
      </c>
    </row>
    <row r="24" spans="1:16" ht="15.75" customHeight="1">
      <c r="A24" s="136">
        <v>4</v>
      </c>
      <c r="B24" s="136"/>
      <c r="C24" s="137" t="s">
        <v>133</v>
      </c>
      <c r="D24" s="73" t="str">
        <f>ИТОГО!$K$6</f>
        <v>0-30 000</v>
      </c>
      <c r="E24" s="46">
        <v>7600</v>
      </c>
      <c r="F24" s="132"/>
      <c r="G24" s="133">
        <f>E24*F24</f>
        <v>0</v>
      </c>
      <c r="H24" s="57">
        <v>3</v>
      </c>
      <c r="I24" s="57" t="s">
        <v>132</v>
      </c>
      <c r="J24" s="57" t="s">
        <v>139</v>
      </c>
      <c r="K24" s="57" t="s">
        <v>139</v>
      </c>
      <c r="L24" s="57" t="s">
        <v>141</v>
      </c>
      <c r="M24" s="58">
        <v>4.9000000000000004</v>
      </c>
    </row>
    <row r="25" spans="1:16" ht="15.75" customHeight="1">
      <c r="A25" s="136"/>
      <c r="B25" s="136"/>
      <c r="C25" s="136"/>
      <c r="D25" s="44" t="str">
        <f>ИТОГО!$K$7</f>
        <v>31 000-80 000</v>
      </c>
      <c r="E25" s="54">
        <f>E24*(1-ИТОГО!$L$7)</f>
        <v>7372</v>
      </c>
      <c r="F25" s="132"/>
      <c r="G25" s="132"/>
      <c r="H25" s="57">
        <v>4</v>
      </c>
      <c r="I25" s="57" t="s">
        <v>133</v>
      </c>
      <c r="J25" s="57" t="s">
        <v>139</v>
      </c>
      <c r="K25" s="57" t="s">
        <v>139</v>
      </c>
      <c r="L25" s="57" t="s">
        <v>142</v>
      </c>
      <c r="M25" s="58">
        <v>5.6</v>
      </c>
    </row>
    <row r="26" spans="1:16" ht="15.75" customHeight="1">
      <c r="A26" s="136"/>
      <c r="B26" s="136"/>
      <c r="C26" s="136"/>
      <c r="D26" s="44" t="str">
        <f>ИТОГО!$K$8</f>
        <v>81 000-150 000</v>
      </c>
      <c r="E26" s="54">
        <f>E24*(1-ИТОГО!$L$8)</f>
        <v>7067.9999999999991</v>
      </c>
      <c r="F26" s="132"/>
      <c r="G26" s="132"/>
      <c r="H26" s="57">
        <v>5</v>
      </c>
      <c r="I26" s="57" t="s">
        <v>134</v>
      </c>
      <c r="J26" s="57" t="s">
        <v>143</v>
      </c>
      <c r="K26" s="57" t="s">
        <v>139</v>
      </c>
      <c r="L26" s="57" t="s">
        <v>142</v>
      </c>
      <c r="M26" s="58">
        <v>6.1</v>
      </c>
    </row>
    <row r="27" spans="1:16" ht="15.75" customHeight="1">
      <c r="A27" s="136"/>
      <c r="B27" s="136"/>
      <c r="C27" s="136"/>
      <c r="D27" s="44" t="str">
        <f>ИТОГО!$K$9</f>
        <v>151 000-300 000</v>
      </c>
      <c r="E27" s="54">
        <f>E24*(1-ИТОГО!$L$9)</f>
        <v>6840</v>
      </c>
      <c r="F27" s="132"/>
      <c r="G27" s="132"/>
      <c r="H27" s="57">
        <v>6</v>
      </c>
      <c r="I27" s="57" t="s">
        <v>135</v>
      </c>
      <c r="J27" s="57" t="s">
        <v>143</v>
      </c>
      <c r="K27" s="57" t="s">
        <v>139</v>
      </c>
      <c r="L27" s="57" t="s">
        <v>110</v>
      </c>
      <c r="M27" s="58">
        <v>7.2</v>
      </c>
    </row>
    <row r="28" spans="1:16" ht="15.75" customHeight="1">
      <c r="A28" s="136"/>
      <c r="B28" s="136"/>
      <c r="C28" s="136"/>
      <c r="D28" s="44" t="str">
        <f>ИТОГО!$K$10</f>
        <v>301 000-450 000</v>
      </c>
      <c r="E28" s="54">
        <f>E24*(1-ИТОГО!$L$10)</f>
        <v>6612</v>
      </c>
      <c r="F28" s="132"/>
      <c r="G28" s="132"/>
      <c r="H28" s="57">
        <v>7</v>
      </c>
      <c r="I28" s="57" t="s">
        <v>136</v>
      </c>
      <c r="J28" s="57" t="s">
        <v>144</v>
      </c>
      <c r="K28" s="57" t="s">
        <v>145</v>
      </c>
      <c r="L28" s="57" t="s">
        <v>146</v>
      </c>
      <c r="M28" s="58">
        <v>8.6999999999999993</v>
      </c>
    </row>
    <row r="29" spans="1:16" ht="15.75" customHeight="1">
      <c r="A29" s="136"/>
      <c r="B29" s="136"/>
      <c r="C29" s="136"/>
      <c r="D29" s="44" t="str">
        <f>ИТОГО!$K$11</f>
        <v>451 000-600 000</v>
      </c>
      <c r="E29" s="54">
        <f>E24*(1-ИТОГО!$L$11)</f>
        <v>6460</v>
      </c>
      <c r="F29" s="132"/>
      <c r="G29" s="132"/>
      <c r="H29" s="57">
        <v>8</v>
      </c>
      <c r="I29" s="57" t="s">
        <v>137</v>
      </c>
      <c r="J29" s="57" t="s">
        <v>144</v>
      </c>
      <c r="K29" s="57" t="s">
        <v>145</v>
      </c>
      <c r="L29" s="57" t="s">
        <v>147</v>
      </c>
      <c r="M29" s="58">
        <v>10.53</v>
      </c>
    </row>
    <row r="30" spans="1:16" ht="15.75" customHeight="1">
      <c r="A30" s="136"/>
      <c r="B30" s="136"/>
      <c r="C30" s="136"/>
      <c r="D30" s="44" t="str">
        <f>ИТОГО!$K$12</f>
        <v>601 000 и выше</v>
      </c>
      <c r="E30" s="54">
        <f>E24*(1-ИТОГО!$L$12)</f>
        <v>6308</v>
      </c>
      <c r="F30" s="132"/>
      <c r="G30" s="132"/>
      <c r="H30" s="72"/>
      <c r="I30" s="72"/>
    </row>
    <row r="31" spans="1:16" ht="15.75" customHeight="1">
      <c r="A31" s="136">
        <v>5</v>
      </c>
      <c r="B31" s="136"/>
      <c r="C31" s="137" t="s">
        <v>134</v>
      </c>
      <c r="D31" s="73" t="str">
        <f>ИТОГО!$K$6</f>
        <v>0-30 000</v>
      </c>
      <c r="E31" s="46">
        <v>7900</v>
      </c>
      <c r="F31" s="132"/>
      <c r="G31" s="133">
        <f>E31*F31</f>
        <v>0</v>
      </c>
      <c r="H31" s="72"/>
      <c r="I31" s="72"/>
    </row>
    <row r="32" spans="1:16" ht="15.75" customHeight="1">
      <c r="A32" s="136"/>
      <c r="B32" s="136"/>
      <c r="C32" s="136"/>
      <c r="D32" s="44" t="str">
        <f>ИТОГО!$K$7</f>
        <v>31 000-80 000</v>
      </c>
      <c r="E32" s="54">
        <f>E31*(1-ИТОГО!$L$7)</f>
        <v>7663</v>
      </c>
      <c r="F32" s="132"/>
      <c r="G32" s="132"/>
      <c r="H32" s="72"/>
      <c r="I32" s="72"/>
    </row>
    <row r="33" spans="1:9" ht="15.75" customHeight="1">
      <c r="A33" s="136"/>
      <c r="B33" s="136"/>
      <c r="C33" s="136"/>
      <c r="D33" s="44" t="str">
        <f>ИТОГО!$K$8</f>
        <v>81 000-150 000</v>
      </c>
      <c r="E33" s="54">
        <f>E31*(1-ИТОГО!$L$8)</f>
        <v>7346.9999999999991</v>
      </c>
      <c r="F33" s="132"/>
      <c r="G33" s="132"/>
      <c r="H33" s="72"/>
      <c r="I33" s="72"/>
    </row>
    <row r="34" spans="1:9" ht="15.75" customHeight="1">
      <c r="A34" s="136"/>
      <c r="B34" s="136"/>
      <c r="C34" s="136"/>
      <c r="D34" s="44" t="str">
        <f>ИТОГО!$K$9</f>
        <v>151 000-300 000</v>
      </c>
      <c r="E34" s="54">
        <f>E31*(1-ИТОГО!$L$9)</f>
        <v>7110</v>
      </c>
      <c r="F34" s="132"/>
      <c r="G34" s="132"/>
      <c r="H34" s="72"/>
      <c r="I34" s="72"/>
    </row>
    <row r="35" spans="1:9" ht="15.75" customHeight="1">
      <c r="A35" s="136"/>
      <c r="B35" s="136"/>
      <c r="C35" s="136"/>
      <c r="D35" s="44" t="str">
        <f>ИТОГО!$K$10</f>
        <v>301 000-450 000</v>
      </c>
      <c r="E35" s="54">
        <f>E31*(1-ИТОГО!$L$10)</f>
        <v>6873</v>
      </c>
      <c r="F35" s="132"/>
      <c r="G35" s="132"/>
      <c r="H35" s="72"/>
      <c r="I35" s="72"/>
    </row>
    <row r="36" spans="1:9" ht="15.75" customHeight="1">
      <c r="A36" s="136"/>
      <c r="B36" s="136"/>
      <c r="C36" s="136"/>
      <c r="D36" s="44" t="str">
        <f>ИТОГО!$K$11</f>
        <v>451 000-600 000</v>
      </c>
      <c r="E36" s="54">
        <f>E31*(1-ИТОГО!$L$11)</f>
        <v>6715</v>
      </c>
      <c r="F36" s="132"/>
      <c r="G36" s="132"/>
      <c r="H36" s="72"/>
      <c r="I36" s="72"/>
    </row>
    <row r="37" spans="1:9" ht="15.75" customHeight="1">
      <c r="A37" s="136"/>
      <c r="B37" s="136"/>
      <c r="C37" s="136"/>
      <c r="D37" s="44" t="str">
        <f>ИТОГО!$K$12</f>
        <v>601 000 и выше</v>
      </c>
      <c r="E37" s="54">
        <f>E31*(1-ИТОГО!$L$12)</f>
        <v>6557</v>
      </c>
      <c r="F37" s="132"/>
      <c r="G37" s="132"/>
      <c r="H37" s="72"/>
      <c r="I37" s="72"/>
    </row>
    <row r="38" spans="1:9" ht="15.75" customHeight="1">
      <c r="A38" s="136">
        <v>6</v>
      </c>
      <c r="B38" s="136"/>
      <c r="C38" s="137" t="s">
        <v>135</v>
      </c>
      <c r="D38" s="73" t="str">
        <f>ИТОГО!$K$6</f>
        <v>0-30 000</v>
      </c>
      <c r="E38" s="46">
        <v>8100</v>
      </c>
      <c r="F38" s="132"/>
      <c r="G38" s="133">
        <f>E38*F38</f>
        <v>0</v>
      </c>
      <c r="H38" s="72"/>
      <c r="I38" s="72"/>
    </row>
    <row r="39" spans="1:9" ht="15.75" customHeight="1">
      <c r="A39" s="136"/>
      <c r="B39" s="136"/>
      <c r="C39" s="136"/>
      <c r="D39" s="44" t="str">
        <f>ИТОГО!$K$7</f>
        <v>31 000-80 000</v>
      </c>
      <c r="E39" s="54">
        <f>E38*(1-ИТОГО!$L$7)</f>
        <v>7857</v>
      </c>
      <c r="F39" s="132"/>
      <c r="G39" s="132"/>
      <c r="H39" s="72"/>
      <c r="I39" s="72"/>
    </row>
    <row r="40" spans="1:9" ht="15.75" customHeight="1">
      <c r="A40" s="136"/>
      <c r="B40" s="136"/>
      <c r="C40" s="136"/>
      <c r="D40" s="44" t="str">
        <f>ИТОГО!$K$8</f>
        <v>81 000-150 000</v>
      </c>
      <c r="E40" s="54">
        <f>E38*(1-ИТОГО!$L$8)</f>
        <v>7532.9999999999991</v>
      </c>
      <c r="F40" s="132"/>
      <c r="G40" s="132"/>
      <c r="H40" s="72"/>
      <c r="I40" s="72"/>
    </row>
    <row r="41" spans="1:9" ht="15.75" customHeight="1">
      <c r="A41" s="136"/>
      <c r="B41" s="136"/>
      <c r="C41" s="136"/>
      <c r="D41" s="44" t="str">
        <f>ИТОГО!$K$9</f>
        <v>151 000-300 000</v>
      </c>
      <c r="E41" s="54">
        <f>E38*(1-ИТОГО!$L$9)</f>
        <v>7290</v>
      </c>
      <c r="F41" s="132"/>
      <c r="G41" s="132"/>
      <c r="H41" s="72"/>
      <c r="I41" s="72"/>
    </row>
    <row r="42" spans="1:9" ht="15.75" customHeight="1">
      <c r="A42" s="136"/>
      <c r="B42" s="136"/>
      <c r="C42" s="136"/>
      <c r="D42" s="44" t="str">
        <f>ИТОГО!$K$10</f>
        <v>301 000-450 000</v>
      </c>
      <c r="E42" s="54">
        <f>E38*(1-ИТОГО!$L$10)</f>
        <v>7047</v>
      </c>
      <c r="F42" s="132"/>
      <c r="G42" s="132"/>
      <c r="H42" s="72"/>
      <c r="I42" s="72"/>
    </row>
    <row r="43" spans="1:9" ht="15.75" customHeight="1">
      <c r="A43" s="136"/>
      <c r="B43" s="136"/>
      <c r="C43" s="136"/>
      <c r="D43" s="44" t="str">
        <f>ИТОГО!$K$11</f>
        <v>451 000-600 000</v>
      </c>
      <c r="E43" s="54">
        <f>E38*(1-ИТОГО!$L$11)</f>
        <v>6885</v>
      </c>
      <c r="F43" s="132"/>
      <c r="G43" s="132"/>
      <c r="H43" s="72"/>
      <c r="I43" s="72"/>
    </row>
    <row r="44" spans="1:9" ht="15.75" customHeight="1">
      <c r="A44" s="136"/>
      <c r="B44" s="136"/>
      <c r="C44" s="136"/>
      <c r="D44" s="44" t="str">
        <f>ИТОГО!$K$12</f>
        <v>601 000 и выше</v>
      </c>
      <c r="E44" s="54">
        <f>E38*(1-ИТОГО!$L$12)</f>
        <v>6723</v>
      </c>
      <c r="F44" s="132"/>
      <c r="G44" s="132"/>
      <c r="H44" s="72"/>
      <c r="I44" s="72"/>
    </row>
    <row r="45" spans="1:9" ht="15.75" customHeight="1">
      <c r="A45" s="136">
        <v>7</v>
      </c>
      <c r="B45" s="136"/>
      <c r="C45" s="137" t="s">
        <v>148</v>
      </c>
      <c r="D45" s="73" t="str">
        <f>ИТОГО!$K$6</f>
        <v>0-30 000</v>
      </c>
      <c r="E45" s="46">
        <v>8700</v>
      </c>
      <c r="F45" s="132"/>
      <c r="G45" s="133">
        <f>E45*F45</f>
        <v>0</v>
      </c>
      <c r="H45" s="72"/>
      <c r="I45" s="72"/>
    </row>
    <row r="46" spans="1:9" ht="15.75" customHeight="1">
      <c r="A46" s="136"/>
      <c r="B46" s="136"/>
      <c r="C46" s="136"/>
      <c r="D46" s="44" t="str">
        <f>ИТОГО!$K$7</f>
        <v>31 000-80 000</v>
      </c>
      <c r="E46" s="54">
        <f>E45*(1-ИТОГО!$L$7)</f>
        <v>8439</v>
      </c>
      <c r="F46" s="132"/>
      <c r="G46" s="132"/>
      <c r="H46" s="72"/>
      <c r="I46" s="72"/>
    </row>
    <row r="47" spans="1:9" ht="15.75" customHeight="1">
      <c r="A47" s="136"/>
      <c r="B47" s="136"/>
      <c r="C47" s="136"/>
      <c r="D47" s="44" t="str">
        <f>ИТОГО!$K$8</f>
        <v>81 000-150 000</v>
      </c>
      <c r="E47" s="54">
        <f>E45*(1-ИТОГО!$L$8)</f>
        <v>8090.9999999999991</v>
      </c>
      <c r="F47" s="132"/>
      <c r="G47" s="132"/>
      <c r="H47" s="72"/>
      <c r="I47" s="72"/>
    </row>
    <row r="48" spans="1:9" ht="15.75" customHeight="1">
      <c r="A48" s="136"/>
      <c r="B48" s="136"/>
      <c r="C48" s="136"/>
      <c r="D48" s="44" t="str">
        <f>ИТОГО!$K$9</f>
        <v>151 000-300 000</v>
      </c>
      <c r="E48" s="54">
        <f>E45*(1-ИТОГО!$L$9)</f>
        <v>7830</v>
      </c>
      <c r="F48" s="132"/>
      <c r="G48" s="132"/>
      <c r="H48" s="72"/>
      <c r="I48" s="72"/>
    </row>
    <row r="49" spans="1:9" ht="15.75" customHeight="1">
      <c r="A49" s="136"/>
      <c r="B49" s="136"/>
      <c r="C49" s="136"/>
      <c r="D49" s="44" t="str">
        <f>ИТОГО!$K$10</f>
        <v>301 000-450 000</v>
      </c>
      <c r="E49" s="54">
        <f>E45*(1-ИТОГО!$L$10)</f>
        <v>7569</v>
      </c>
      <c r="F49" s="132"/>
      <c r="G49" s="132"/>
      <c r="H49" s="72"/>
      <c r="I49" s="72"/>
    </row>
    <row r="50" spans="1:9" ht="15.75" customHeight="1">
      <c r="A50" s="136"/>
      <c r="B50" s="136"/>
      <c r="C50" s="136"/>
      <c r="D50" s="44" t="str">
        <f>ИТОГО!$K$11</f>
        <v>451 000-600 000</v>
      </c>
      <c r="E50" s="54">
        <f>E45*(1-ИТОГО!$L$11)</f>
        <v>7395</v>
      </c>
      <c r="F50" s="132"/>
      <c r="G50" s="132"/>
      <c r="H50" s="72"/>
      <c r="I50" s="72"/>
    </row>
    <row r="51" spans="1:9" ht="15.75" customHeight="1">
      <c r="A51" s="136"/>
      <c r="B51" s="136"/>
      <c r="C51" s="136"/>
      <c r="D51" s="44" t="str">
        <f>ИТОГО!$K$12</f>
        <v>601 000 и выше</v>
      </c>
      <c r="E51" s="54">
        <f>E45*(1-ИТОГО!$L$12)</f>
        <v>7221</v>
      </c>
      <c r="F51" s="132"/>
      <c r="G51" s="132"/>
      <c r="H51" s="72"/>
      <c r="I51" s="72"/>
    </row>
    <row r="52" spans="1:9" ht="15.75" customHeight="1">
      <c r="A52" s="136">
        <v>8</v>
      </c>
      <c r="B52" s="136"/>
      <c r="C52" s="137" t="s">
        <v>137</v>
      </c>
      <c r="D52" s="73" t="str">
        <f>ИТОГО!$K$6</f>
        <v>0-30 000</v>
      </c>
      <c r="E52" s="46">
        <v>9700</v>
      </c>
      <c r="F52" s="132"/>
      <c r="G52" s="141">
        <f>E52*F52</f>
        <v>0</v>
      </c>
      <c r="H52" s="72"/>
      <c r="I52" s="72"/>
    </row>
    <row r="53" spans="1:9" ht="15.75" customHeight="1">
      <c r="A53" s="136"/>
      <c r="B53" s="136"/>
      <c r="C53" s="136"/>
      <c r="D53" s="44" t="str">
        <f>ИТОГО!$K$7</f>
        <v>31 000-80 000</v>
      </c>
      <c r="E53" s="54">
        <f>E52*(1-ИТОГО!$L$7)</f>
        <v>9409</v>
      </c>
      <c r="F53" s="132"/>
      <c r="G53" s="132"/>
      <c r="H53" s="72"/>
      <c r="I53" s="72"/>
    </row>
    <row r="54" spans="1:9" ht="15.75" customHeight="1">
      <c r="A54" s="136"/>
      <c r="B54" s="136"/>
      <c r="C54" s="136"/>
      <c r="D54" s="44" t="str">
        <f>ИТОГО!$K$8</f>
        <v>81 000-150 000</v>
      </c>
      <c r="E54" s="54">
        <f>E52*(1-ИТОГО!$L$8)</f>
        <v>9021</v>
      </c>
      <c r="F54" s="132"/>
      <c r="G54" s="132"/>
      <c r="H54" s="72"/>
      <c r="I54" s="72"/>
    </row>
    <row r="55" spans="1:9" ht="15.75" customHeight="1">
      <c r="A55" s="136"/>
      <c r="B55" s="136"/>
      <c r="C55" s="136"/>
      <c r="D55" s="44" t="str">
        <f>ИТОГО!$K$9</f>
        <v>151 000-300 000</v>
      </c>
      <c r="E55" s="54">
        <f>E52*(1-ИТОГО!$L$9)</f>
        <v>8730</v>
      </c>
      <c r="F55" s="132"/>
      <c r="G55" s="132"/>
      <c r="H55" s="72"/>
      <c r="I55" s="72"/>
    </row>
    <row r="56" spans="1:9" ht="15.75" customHeight="1">
      <c r="A56" s="136"/>
      <c r="B56" s="136"/>
      <c r="C56" s="136"/>
      <c r="D56" s="44" t="str">
        <f>ИТОГО!$K$10</f>
        <v>301 000-450 000</v>
      </c>
      <c r="E56" s="54">
        <f>E52*(1-ИТОГО!$L$10)</f>
        <v>8439</v>
      </c>
      <c r="F56" s="132"/>
      <c r="G56" s="132"/>
      <c r="H56" s="72"/>
      <c r="I56" s="72"/>
    </row>
    <row r="57" spans="1:9" ht="15.75" customHeight="1">
      <c r="A57" s="136"/>
      <c r="B57" s="136"/>
      <c r="C57" s="136"/>
      <c r="D57" s="44" t="str">
        <f>ИТОГО!$K$11</f>
        <v>451 000-600 000</v>
      </c>
      <c r="E57" s="54">
        <f>E52*(1-ИТОГО!$L$11)</f>
        <v>8245</v>
      </c>
      <c r="F57" s="132"/>
      <c r="G57" s="132"/>
      <c r="H57" s="72"/>
      <c r="I57" s="72"/>
    </row>
    <row r="58" spans="1:9" ht="15.75" customHeight="1">
      <c r="A58" s="136"/>
      <c r="B58" s="136"/>
      <c r="C58" s="136"/>
      <c r="D58" s="44" t="str">
        <f>ИТОГО!$K$12</f>
        <v>601 000 и выше</v>
      </c>
      <c r="E58" s="54">
        <f>E52*(1-ИТОГО!$L$12)</f>
        <v>8051</v>
      </c>
      <c r="F58" s="132"/>
      <c r="G58" s="132"/>
      <c r="H58" s="72"/>
      <c r="I58" s="72"/>
    </row>
    <row r="59" spans="1:9">
      <c r="A59" s="76"/>
      <c r="B59" s="76"/>
      <c r="C59" s="76"/>
      <c r="D59" s="77"/>
      <c r="E59" s="78"/>
    </row>
    <row r="60" spans="1:9">
      <c r="A60" s="76"/>
      <c r="B60" s="76"/>
      <c r="C60" s="76"/>
      <c r="D60" s="77"/>
      <c r="E60" s="78"/>
    </row>
    <row r="61" spans="1:9">
      <c r="A61" s="76"/>
      <c r="B61" s="76"/>
      <c r="C61" s="76"/>
      <c r="D61" s="77"/>
      <c r="E61" s="78"/>
    </row>
    <row r="62" spans="1:9">
      <c r="A62" s="35"/>
      <c r="B62" s="35"/>
      <c r="C62" s="35"/>
      <c r="D62" s="35"/>
      <c r="E62" s="35"/>
    </row>
    <row r="63" spans="1:9" ht="33.75" customHeight="1"/>
    <row r="89" ht="34.5" customHeight="1"/>
    <row r="96" ht="37.5" customHeight="1"/>
  </sheetData>
  <mergeCells count="43">
    <mergeCell ref="A52:A58"/>
    <mergeCell ref="B52:B58"/>
    <mergeCell ref="C52:C58"/>
    <mergeCell ref="F52:F58"/>
    <mergeCell ref="G52:G58"/>
    <mergeCell ref="A45:A51"/>
    <mergeCell ref="B45:B51"/>
    <mergeCell ref="C45:C51"/>
    <mergeCell ref="F45:F51"/>
    <mergeCell ref="G45:G51"/>
    <mergeCell ref="A38:A44"/>
    <mergeCell ref="B38:B44"/>
    <mergeCell ref="C38:C44"/>
    <mergeCell ref="F38:F44"/>
    <mergeCell ref="G38:G44"/>
    <mergeCell ref="A31:A37"/>
    <mergeCell ref="B31:B37"/>
    <mergeCell ref="C31:C37"/>
    <mergeCell ref="F31:F37"/>
    <mergeCell ref="G31:G37"/>
    <mergeCell ref="A24:A30"/>
    <mergeCell ref="B24:B30"/>
    <mergeCell ref="C24:C30"/>
    <mergeCell ref="F24:F30"/>
    <mergeCell ref="G24:G30"/>
    <mergeCell ref="H10:N10"/>
    <mergeCell ref="A17:A23"/>
    <mergeCell ref="B17:B23"/>
    <mergeCell ref="C17:C23"/>
    <mergeCell ref="F17:F23"/>
    <mergeCell ref="G17:G23"/>
    <mergeCell ref="H20:L20"/>
    <mergeCell ref="G3:G9"/>
    <mergeCell ref="A10:A16"/>
    <mergeCell ref="B10:B16"/>
    <mergeCell ref="C10:C16"/>
    <mergeCell ref="F10:F16"/>
    <mergeCell ref="G10:G16"/>
    <mergeCell ref="A1:E1"/>
    <mergeCell ref="A3:A9"/>
    <mergeCell ref="B3:B9"/>
    <mergeCell ref="C3:C9"/>
    <mergeCell ref="F3:F9"/>
  </mergeCells>
  <conditionalFormatting sqref="H3:I8">
    <cfRule type="expression" dxfId="26" priority="2">
      <formula>$H3=cur_label</formula>
    </cfRule>
  </conditionalFormatting>
  <conditionalFormatting sqref="D3:E62">
    <cfRule type="expression" dxfId="25" priority="3">
      <formula>AND($D3&lt;&gt;"",$D3=cur_label)</formula>
    </cfRule>
  </conditionalFormatting>
  <hyperlinks>
    <hyperlink ref="C3" r:id="rId1"/>
    <hyperlink ref="C10" r:id="rId2"/>
    <hyperlink ref="C17" r:id="rId3"/>
    <hyperlink ref="C24" r:id="rId4"/>
    <hyperlink ref="C31" r:id="rId5"/>
    <hyperlink ref="C38" r:id="rId6"/>
    <hyperlink ref="C45" r:id="rId7"/>
    <hyperlink ref="C52" r:id="rId8"/>
  </hyperlinks>
  <pageMargins left="0.7" right="0.7" top="0.75" bottom="0.75" header="0.511811023622047" footer="0.511811023622047"/>
  <pageSetup paperSize="9" fitToHeight="0" orientation="landscape" horizontalDpi="300" verticalDpi="300"/>
  <rowBreaks count="1" manualBreakCount="1">
    <brk id="44" max="16383" man="1"/>
  </rowBreaks>
  <drawing r:id="rId9"/>
  <tableParts count="2">
    <tablePart r:id="rId10"/>
    <tablePart r:id="rId11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zoomScaleNormal="100" workbookViewId="0">
      <pane ySplit="2" topLeftCell="A3" activePane="bottomLeft" state="frozen"/>
      <selection pane="bottomLeft" activeCell="B62" sqref="B62"/>
    </sheetView>
  </sheetViews>
  <sheetFormatPr defaultColWidth="8.5703125" defaultRowHeight="15"/>
  <cols>
    <col min="1" max="1" width="5.85546875" style="1" customWidth="1"/>
    <col min="2" max="5" width="17.42578125" style="1" customWidth="1"/>
    <col min="6" max="6" width="14.28515625" style="1" customWidth="1"/>
    <col min="7" max="7" width="13.42578125" style="1" customWidth="1"/>
    <col min="8" max="8" width="18.28515625" style="1" customWidth="1"/>
    <col min="9" max="9" width="30.140625" style="1" customWidth="1"/>
    <col min="10" max="10" width="11.140625" style="1" customWidth="1"/>
    <col min="11" max="11" width="14.140625" style="1" customWidth="1"/>
    <col min="12" max="12" width="13.140625" style="1" customWidth="1"/>
    <col min="13" max="13" width="19.140625" style="1" customWidth="1"/>
    <col min="15" max="15" width="12.42578125" style="1" customWidth="1"/>
    <col min="16" max="16" width="15" style="1" customWidth="1"/>
  </cols>
  <sheetData>
    <row r="1" spans="1:16" ht="19.5" customHeight="1">
      <c r="A1" s="138" t="s">
        <v>149</v>
      </c>
      <c r="B1" s="138"/>
      <c r="C1" s="138"/>
      <c r="D1" s="138"/>
      <c r="E1" s="138"/>
      <c r="F1" s="72"/>
      <c r="G1" s="72"/>
      <c r="H1" s="72"/>
      <c r="I1" s="72"/>
    </row>
    <row r="2" spans="1:16" ht="15.75" customHeight="1">
      <c r="A2" s="63" t="s">
        <v>84</v>
      </c>
      <c r="B2" s="63" t="s">
        <v>73</v>
      </c>
      <c r="C2" s="63" t="s">
        <v>74</v>
      </c>
      <c r="D2" s="37" t="s">
        <v>75</v>
      </c>
      <c r="E2" s="63" t="s">
        <v>76</v>
      </c>
      <c r="F2" s="39" t="s">
        <v>77</v>
      </c>
      <c r="G2" s="40" t="s">
        <v>78</v>
      </c>
      <c r="H2" s="42" t="s">
        <v>78</v>
      </c>
      <c r="I2" s="42" t="s">
        <v>34</v>
      </c>
      <c r="J2" s="39" t="s">
        <v>79</v>
      </c>
      <c r="K2" s="40" t="s">
        <v>80</v>
      </c>
      <c r="L2" s="43" t="s">
        <v>34</v>
      </c>
      <c r="M2" s="40" t="s">
        <v>39</v>
      </c>
    </row>
    <row r="3" spans="1:16" ht="15.75" customHeight="1">
      <c r="A3" s="136">
        <v>1</v>
      </c>
      <c r="B3" s="136"/>
      <c r="C3" s="137" t="s">
        <v>150</v>
      </c>
      <c r="D3" s="73" t="str">
        <f>ИТОГО!$K$6</f>
        <v>0-30 000</v>
      </c>
      <c r="E3" s="46">
        <v>6400</v>
      </c>
      <c r="F3" s="132"/>
      <c r="G3" s="133">
        <f>E3*F3</f>
        <v>0</v>
      </c>
      <c r="H3" s="41" t="str">
        <f>ИТОГО!$K$7</f>
        <v>31 000-80 000</v>
      </c>
      <c r="I3" s="49">
        <f>ИТОГО!$L$7</f>
        <v>0.03</v>
      </c>
      <c r="J3" s="50">
        <f>F3+F10+F17+F24+F31+F38+F45+F52</f>
        <v>0</v>
      </c>
      <c r="K3" s="51">
        <f>G3+G10+G17+G24+G31+G38+G45+G52</f>
        <v>0</v>
      </c>
      <c r="L3" s="52">
        <f>cur_rate</f>
        <v>0</v>
      </c>
      <c r="M3" s="51">
        <f>K3-K3*L3</f>
        <v>0</v>
      </c>
    </row>
    <row r="4" spans="1:16" ht="15.75" customHeight="1">
      <c r="A4" s="136"/>
      <c r="B4" s="136"/>
      <c r="C4" s="136"/>
      <c r="D4" s="44" t="str">
        <f>ИТОГО!$K$7</f>
        <v>31 000-80 000</v>
      </c>
      <c r="E4" s="54">
        <f>E3*(1-ИТОГО!$L$7)</f>
        <v>6208</v>
      </c>
      <c r="F4" s="132"/>
      <c r="G4" s="132"/>
      <c r="H4" s="41" t="str">
        <f>ИТОГО!$K$8</f>
        <v>81 000-150 000</v>
      </c>
      <c r="I4" s="49">
        <f>ИТОГО!$L$8</f>
        <v>7.0000000000000007E-2</v>
      </c>
    </row>
    <row r="5" spans="1:16" ht="15.75" customHeight="1">
      <c r="A5" s="136"/>
      <c r="B5" s="136"/>
      <c r="C5" s="136"/>
      <c r="D5" s="44" t="str">
        <f>ИТОГО!$K$8</f>
        <v>81 000-150 000</v>
      </c>
      <c r="E5" s="54">
        <f>E3*(1-ИТОГО!$L$8)</f>
        <v>5952</v>
      </c>
      <c r="F5" s="132"/>
      <c r="G5" s="132"/>
      <c r="H5" s="41" t="str">
        <f>ИТОГО!$K$9</f>
        <v>151 000-300 000</v>
      </c>
      <c r="I5" s="49">
        <f>ИТОГО!$L$9</f>
        <v>0.1</v>
      </c>
    </row>
    <row r="6" spans="1:16" ht="15.75" customHeight="1">
      <c r="A6" s="136"/>
      <c r="B6" s="136"/>
      <c r="C6" s="136"/>
      <c r="D6" s="44" t="str">
        <f>ИТОГО!$K$9</f>
        <v>151 000-300 000</v>
      </c>
      <c r="E6" s="54">
        <f>E3*(1-ИТОГО!$L$9)</f>
        <v>5760</v>
      </c>
      <c r="F6" s="132"/>
      <c r="G6" s="132"/>
      <c r="H6" s="41" t="str">
        <f>ИТОГО!$K$10</f>
        <v>301 000-450 000</v>
      </c>
      <c r="I6" s="49">
        <f>ИТОГО!$L$10</f>
        <v>0.13</v>
      </c>
    </row>
    <row r="7" spans="1:16" ht="16.5" customHeight="1">
      <c r="A7" s="136"/>
      <c r="B7" s="136"/>
      <c r="C7" s="136"/>
      <c r="D7" s="44" t="str">
        <f>ИТОГО!$K$10</f>
        <v>301 000-450 000</v>
      </c>
      <c r="E7" s="54">
        <f>E3*(1-ИТОГО!$L$10)</f>
        <v>5568</v>
      </c>
      <c r="F7" s="132"/>
      <c r="G7" s="132"/>
      <c r="H7" s="41" t="str">
        <f>ИТОГО!$K$11</f>
        <v>451 000-600 000</v>
      </c>
      <c r="I7" s="49">
        <f>ИТОГО!$L$11</f>
        <v>0.15</v>
      </c>
    </row>
    <row r="8" spans="1:16" ht="15.75" customHeight="1">
      <c r="A8" s="136"/>
      <c r="B8" s="136"/>
      <c r="C8" s="136"/>
      <c r="D8" s="44" t="str">
        <f>ИТОГО!$K$11</f>
        <v>451 000-600 000</v>
      </c>
      <c r="E8" s="54">
        <f>E3*(1-ИТОГО!$L$11)</f>
        <v>5440</v>
      </c>
      <c r="F8" s="132"/>
      <c r="G8" s="132"/>
      <c r="H8" s="55" t="str">
        <f>ИТОГО!$K$12</f>
        <v>601 000 и выше</v>
      </c>
      <c r="I8" s="56">
        <f>ИТОГО!$L$12</f>
        <v>0.17</v>
      </c>
    </row>
    <row r="9" spans="1:16" ht="15.75" customHeight="1">
      <c r="A9" s="136"/>
      <c r="B9" s="136"/>
      <c r="C9" s="136"/>
      <c r="D9" s="44" t="str">
        <f>ИТОГО!$K$12</f>
        <v>601 000 и выше</v>
      </c>
      <c r="E9" s="54">
        <f>E3*(1-ИТОГО!$L$12)</f>
        <v>5312</v>
      </c>
      <c r="F9" s="132"/>
      <c r="G9" s="132"/>
      <c r="H9" s="72"/>
      <c r="I9" s="72"/>
    </row>
    <row r="10" spans="1:16" ht="15.75" customHeight="1">
      <c r="A10" s="136">
        <v>2</v>
      </c>
      <c r="B10" s="136"/>
      <c r="C10" s="137" t="s">
        <v>151</v>
      </c>
      <c r="D10" s="73" t="str">
        <f>ИТОГО!$K$6</f>
        <v>0-30 000</v>
      </c>
      <c r="E10" s="46">
        <v>7500</v>
      </c>
      <c r="F10" s="132"/>
      <c r="G10" s="133">
        <f>E10*F10</f>
        <v>0</v>
      </c>
      <c r="H10" s="139" t="s">
        <v>83</v>
      </c>
      <c r="I10" s="139"/>
      <c r="J10" s="139"/>
      <c r="K10" s="139"/>
      <c r="L10" s="139"/>
      <c r="M10" s="139"/>
      <c r="N10" s="139"/>
      <c r="O10" s="72"/>
      <c r="P10" s="72"/>
    </row>
    <row r="11" spans="1:16" ht="15.75" customHeight="1">
      <c r="A11" s="136"/>
      <c r="B11" s="136"/>
      <c r="C11" s="136"/>
      <c r="D11" s="44" t="str">
        <f>ИТОГО!$K$7</f>
        <v>31 000-80 000</v>
      </c>
      <c r="E11" s="54">
        <f>E10*(1-ИТОГО!$L$7)</f>
        <v>7275</v>
      </c>
      <c r="F11" s="132"/>
      <c r="G11" s="132"/>
      <c r="H11" s="57" t="s">
        <v>84</v>
      </c>
      <c r="I11" s="57" t="s">
        <v>74</v>
      </c>
      <c r="J11" s="57" t="s">
        <v>86</v>
      </c>
      <c r="K11" s="57" t="s">
        <v>87</v>
      </c>
      <c r="L11" s="57" t="s">
        <v>88</v>
      </c>
      <c r="M11" s="57" t="s">
        <v>89</v>
      </c>
      <c r="N11" s="57" t="s">
        <v>102</v>
      </c>
      <c r="O11" s="57" t="s">
        <v>131</v>
      </c>
      <c r="P11" s="57" t="s">
        <v>92</v>
      </c>
    </row>
    <row r="12" spans="1:16" ht="18" customHeight="1">
      <c r="A12" s="136"/>
      <c r="B12" s="136"/>
      <c r="C12" s="136"/>
      <c r="D12" s="44" t="str">
        <f>ИТОГО!$K$8</f>
        <v>81 000-150 000</v>
      </c>
      <c r="E12" s="54">
        <f>E10*(1-ИТОГО!$L$8)</f>
        <v>6974.9999999999991</v>
      </c>
      <c r="F12" s="132"/>
      <c r="G12" s="132"/>
      <c r="H12" s="57">
        <v>1</v>
      </c>
      <c r="I12" s="57" t="s">
        <v>150</v>
      </c>
      <c r="J12" s="57">
        <v>330</v>
      </c>
      <c r="K12" s="57">
        <v>330</v>
      </c>
      <c r="L12" s="57">
        <v>280</v>
      </c>
      <c r="M12" s="58">
        <f t="shared" ref="M12:M19" si="0">J12*K12*L12*0.000000001</f>
        <v>3.0492000000000002E-2</v>
      </c>
      <c r="N12" s="58">
        <v>4.2</v>
      </c>
      <c r="O12" s="58">
        <f>N12*F3</f>
        <v>0</v>
      </c>
      <c r="P12" s="58">
        <f>M12*F3</f>
        <v>0</v>
      </c>
    </row>
    <row r="13" spans="1:16" ht="15.75" customHeight="1">
      <c r="A13" s="136"/>
      <c r="B13" s="136"/>
      <c r="C13" s="136"/>
      <c r="D13" s="44" t="str">
        <f>ИТОГО!$K$9</f>
        <v>151 000-300 000</v>
      </c>
      <c r="E13" s="54">
        <f>E10*(1-ИТОГО!$L$9)</f>
        <v>6750</v>
      </c>
      <c r="F13" s="132"/>
      <c r="G13" s="132"/>
      <c r="H13" s="57">
        <v>2</v>
      </c>
      <c r="I13" s="57" t="s">
        <v>151</v>
      </c>
      <c r="J13" s="57">
        <v>330</v>
      </c>
      <c r="K13" s="57">
        <v>330</v>
      </c>
      <c r="L13" s="57">
        <v>280</v>
      </c>
      <c r="M13" s="58">
        <f t="shared" si="0"/>
        <v>3.0492000000000002E-2</v>
      </c>
      <c r="N13" s="58">
        <v>4.8</v>
      </c>
      <c r="O13" s="58">
        <f>N13*F10</f>
        <v>0</v>
      </c>
      <c r="P13" s="58">
        <f>M13*F10</f>
        <v>0</v>
      </c>
    </row>
    <row r="14" spans="1:16" ht="15.75" customHeight="1">
      <c r="A14" s="136"/>
      <c r="B14" s="136"/>
      <c r="C14" s="136"/>
      <c r="D14" s="44" t="str">
        <f>ИТОГО!$K$10</f>
        <v>301 000-450 000</v>
      </c>
      <c r="E14" s="54">
        <f>E10*(1-ИТОГО!$L$10)</f>
        <v>6525</v>
      </c>
      <c r="F14" s="132"/>
      <c r="G14" s="132"/>
      <c r="H14" s="57">
        <v>3</v>
      </c>
      <c r="I14" s="57" t="s">
        <v>152</v>
      </c>
      <c r="J14" s="57">
        <v>330</v>
      </c>
      <c r="K14" s="57">
        <v>330</v>
      </c>
      <c r="L14" s="57">
        <v>330</v>
      </c>
      <c r="M14" s="58">
        <f t="shared" si="0"/>
        <v>3.5937000000000004E-2</v>
      </c>
      <c r="N14" s="58">
        <v>5.2</v>
      </c>
      <c r="O14" s="58">
        <f>N14*F17</f>
        <v>0</v>
      </c>
      <c r="P14" s="58">
        <f>M14*F17</f>
        <v>0</v>
      </c>
    </row>
    <row r="15" spans="1:16" ht="15.75" customHeight="1">
      <c r="A15" s="136"/>
      <c r="B15" s="136"/>
      <c r="C15" s="136"/>
      <c r="D15" s="44" t="str">
        <f>ИТОГО!$K$11</f>
        <v>451 000-600 000</v>
      </c>
      <c r="E15" s="54">
        <f>E10*(1-ИТОГО!$L$11)</f>
        <v>6375</v>
      </c>
      <c r="F15" s="132"/>
      <c r="G15" s="132"/>
      <c r="H15" s="57">
        <v>4</v>
      </c>
      <c r="I15" s="57" t="s">
        <v>153</v>
      </c>
      <c r="J15" s="57">
        <v>330</v>
      </c>
      <c r="K15" s="57">
        <v>330</v>
      </c>
      <c r="L15" s="57">
        <v>410</v>
      </c>
      <c r="M15" s="58">
        <f t="shared" si="0"/>
        <v>4.4649000000000001E-2</v>
      </c>
      <c r="N15" s="58">
        <v>5.9</v>
      </c>
      <c r="O15" s="58">
        <f>N15*F24</f>
        <v>0</v>
      </c>
      <c r="P15" s="58">
        <f>M15*F24</f>
        <v>0</v>
      </c>
    </row>
    <row r="16" spans="1:16" ht="15.75" customHeight="1">
      <c r="A16" s="136"/>
      <c r="B16" s="136"/>
      <c r="C16" s="136"/>
      <c r="D16" s="44" t="str">
        <f>ИТОГО!$K$12</f>
        <v>601 000 и выше</v>
      </c>
      <c r="E16" s="54">
        <f>E10*(1-ИТОГО!$L$12)</f>
        <v>6225</v>
      </c>
      <c r="F16" s="132"/>
      <c r="G16" s="132"/>
      <c r="H16" s="57">
        <v>5</v>
      </c>
      <c r="I16" s="57" t="s">
        <v>154</v>
      </c>
      <c r="J16" s="57">
        <v>380</v>
      </c>
      <c r="K16" s="57">
        <v>330</v>
      </c>
      <c r="L16" s="57">
        <v>410</v>
      </c>
      <c r="M16" s="58">
        <f t="shared" si="0"/>
        <v>5.1414000000000001E-2</v>
      </c>
      <c r="N16" s="58">
        <v>6.2</v>
      </c>
      <c r="O16" s="58">
        <f>N16*F31</f>
        <v>0</v>
      </c>
      <c r="P16" s="58">
        <f>M16*F31</f>
        <v>0</v>
      </c>
    </row>
    <row r="17" spans="1:16" ht="17.25" customHeight="1">
      <c r="A17" s="136">
        <v>3</v>
      </c>
      <c r="B17" s="136"/>
      <c r="C17" s="137" t="s">
        <v>152</v>
      </c>
      <c r="D17" s="73" t="str">
        <f>ИТОГО!$K$6</f>
        <v>0-30 000</v>
      </c>
      <c r="E17" s="46">
        <v>8500</v>
      </c>
      <c r="F17" s="132"/>
      <c r="G17" s="133">
        <f>E17*F17</f>
        <v>0</v>
      </c>
      <c r="H17" s="57">
        <v>6</v>
      </c>
      <c r="I17" s="57" t="s">
        <v>155</v>
      </c>
      <c r="J17" s="57">
        <v>370</v>
      </c>
      <c r="K17" s="57">
        <v>330</v>
      </c>
      <c r="L17" s="57">
        <v>560</v>
      </c>
      <c r="M17" s="58">
        <f t="shared" si="0"/>
        <v>6.8376000000000006E-2</v>
      </c>
      <c r="N17" s="58">
        <v>7.3</v>
      </c>
      <c r="O17" s="58">
        <f>N17*F38</f>
        <v>0</v>
      </c>
      <c r="P17" s="58">
        <f>M17*F38</f>
        <v>0</v>
      </c>
    </row>
    <row r="18" spans="1:16" ht="15.75" customHeight="1">
      <c r="A18" s="136"/>
      <c r="B18" s="136"/>
      <c r="C18" s="136"/>
      <c r="D18" s="44" t="str">
        <f>ИТОГО!$K$7</f>
        <v>31 000-80 000</v>
      </c>
      <c r="E18" s="54">
        <f>E17*(1-ИТОГО!$L$7)</f>
        <v>8245</v>
      </c>
      <c r="F18" s="132"/>
      <c r="G18" s="132"/>
      <c r="H18" s="57">
        <v>7</v>
      </c>
      <c r="I18" s="57" t="s">
        <v>156</v>
      </c>
      <c r="J18" s="57">
        <v>400</v>
      </c>
      <c r="K18" s="57">
        <v>420</v>
      </c>
      <c r="L18" s="57">
        <v>500</v>
      </c>
      <c r="M18" s="58">
        <f t="shared" si="0"/>
        <v>8.4000000000000005E-2</v>
      </c>
      <c r="N18" s="58">
        <v>9</v>
      </c>
      <c r="O18" s="58">
        <f>N18*F45</f>
        <v>0</v>
      </c>
      <c r="P18" s="58">
        <f>M18*F45</f>
        <v>0</v>
      </c>
    </row>
    <row r="19" spans="1:16" ht="15.75" customHeight="1">
      <c r="A19" s="136"/>
      <c r="B19" s="136"/>
      <c r="C19" s="136"/>
      <c r="D19" s="44" t="str">
        <f>ИТОГО!$K$8</f>
        <v>81 000-150 000</v>
      </c>
      <c r="E19" s="54">
        <f>E17*(1-ИТОГО!$L$8)</f>
        <v>7904.9999999999991</v>
      </c>
      <c r="F19" s="132"/>
      <c r="G19" s="132"/>
      <c r="H19" s="57">
        <v>8</v>
      </c>
      <c r="I19" s="57" t="s">
        <v>157</v>
      </c>
      <c r="J19" s="57">
        <v>390</v>
      </c>
      <c r="K19" s="57">
        <v>420</v>
      </c>
      <c r="L19" s="57">
        <v>650</v>
      </c>
      <c r="M19" s="58">
        <f t="shared" si="0"/>
        <v>0.10647000000000001</v>
      </c>
      <c r="N19" s="75">
        <v>10.9</v>
      </c>
      <c r="O19" s="58">
        <f>N19*F52</f>
        <v>0</v>
      </c>
      <c r="P19" s="58">
        <f>M19*F52</f>
        <v>0</v>
      </c>
    </row>
    <row r="20" spans="1:16" ht="15.75" customHeight="1">
      <c r="A20" s="136"/>
      <c r="B20" s="136"/>
      <c r="C20" s="136"/>
      <c r="D20" s="44" t="str">
        <f>ИТОГО!$K$9</f>
        <v>151 000-300 000</v>
      </c>
      <c r="E20" s="54">
        <f>E17*(1-ИТОГО!$L$9)</f>
        <v>7650</v>
      </c>
      <c r="F20" s="132"/>
      <c r="G20" s="132"/>
      <c r="H20" s="72"/>
      <c r="I20" s="72"/>
      <c r="J20" s="72"/>
      <c r="K20" s="72"/>
      <c r="L20" s="72"/>
      <c r="M20" s="72"/>
      <c r="N20" s="79" t="s">
        <v>100</v>
      </c>
      <c r="O20" s="80">
        <f>SUM(O12:O19)</f>
        <v>0</v>
      </c>
      <c r="P20" s="81">
        <f>SUM(P12:P19)</f>
        <v>0</v>
      </c>
    </row>
    <row r="21" spans="1:16" ht="15.75" customHeight="1">
      <c r="A21" s="136"/>
      <c r="B21" s="136"/>
      <c r="C21" s="136"/>
      <c r="D21" s="44" t="str">
        <f>ИТОГО!$K$10</f>
        <v>301 000-450 000</v>
      </c>
      <c r="E21" s="54">
        <f>E17*(1-ИТОГО!$L$10)</f>
        <v>7395</v>
      </c>
      <c r="F21" s="132"/>
      <c r="G21" s="132"/>
      <c r="H21" s="59"/>
      <c r="I21" s="60" t="s">
        <v>101</v>
      </c>
      <c r="J21" s="59"/>
      <c r="K21" s="59"/>
      <c r="L21" s="59"/>
      <c r="M21" s="59"/>
      <c r="N21" s="72"/>
      <c r="O21" s="72"/>
      <c r="P21" s="72"/>
    </row>
    <row r="22" spans="1:16" ht="15.75" customHeight="1">
      <c r="A22" s="136"/>
      <c r="B22" s="136"/>
      <c r="C22" s="136"/>
      <c r="D22" s="44" t="str">
        <f>ИТОГО!$K$11</f>
        <v>451 000-600 000</v>
      </c>
      <c r="E22" s="54">
        <f>E17*(1-ИТОГО!$L$11)</f>
        <v>7225</v>
      </c>
      <c r="F22" s="132"/>
      <c r="G22" s="132"/>
      <c r="H22" s="57" t="s">
        <v>84</v>
      </c>
      <c r="I22" s="57" t="s">
        <v>74</v>
      </c>
      <c r="J22" s="57" t="s">
        <v>86</v>
      </c>
      <c r="K22" s="57" t="s">
        <v>87</v>
      </c>
      <c r="L22" s="57" t="s">
        <v>88</v>
      </c>
      <c r="M22" s="57" t="s">
        <v>102</v>
      </c>
      <c r="N22" s="72"/>
      <c r="O22" s="72"/>
      <c r="P22" s="72"/>
    </row>
    <row r="23" spans="1:16" ht="15.75" customHeight="1">
      <c r="A23" s="136"/>
      <c r="B23" s="136"/>
      <c r="C23" s="136"/>
      <c r="D23" s="44" t="str">
        <f>ИТОГО!$K$12</f>
        <v>601 000 и выше</v>
      </c>
      <c r="E23" s="54">
        <f>E17*(1-ИТОГО!$L$12)</f>
        <v>7055</v>
      </c>
      <c r="F23" s="132"/>
      <c r="G23" s="132"/>
      <c r="H23" s="57">
        <v>1</v>
      </c>
      <c r="I23" s="57" t="s">
        <v>150</v>
      </c>
      <c r="J23" s="57" t="s">
        <v>139</v>
      </c>
      <c r="K23" s="57" t="s">
        <v>139</v>
      </c>
      <c r="L23" s="57" t="s">
        <v>105</v>
      </c>
      <c r="M23" s="58">
        <v>3.8</v>
      </c>
      <c r="N23" s="72"/>
      <c r="O23" s="72"/>
      <c r="P23" s="72"/>
    </row>
    <row r="24" spans="1:16" ht="15.75" customHeight="1">
      <c r="A24" s="136">
        <v>4</v>
      </c>
      <c r="B24" s="136"/>
      <c r="C24" s="137" t="s">
        <v>153</v>
      </c>
      <c r="D24" s="73" t="str">
        <f>ИТОГО!$K$6</f>
        <v>0-30 000</v>
      </c>
      <c r="E24" s="46">
        <v>8950</v>
      </c>
      <c r="F24" s="132"/>
      <c r="G24" s="133">
        <f>E24*F24</f>
        <v>0</v>
      </c>
      <c r="H24" s="57">
        <v>2</v>
      </c>
      <c r="I24" s="57" t="s">
        <v>151</v>
      </c>
      <c r="J24" s="57" t="s">
        <v>139</v>
      </c>
      <c r="K24" s="57" t="s">
        <v>139</v>
      </c>
      <c r="L24" s="57" t="s">
        <v>140</v>
      </c>
      <c r="M24" s="58">
        <v>4.4000000000000004</v>
      </c>
      <c r="N24" s="72"/>
      <c r="O24" s="72"/>
      <c r="P24" s="72"/>
    </row>
    <row r="25" spans="1:16" ht="15.75" customHeight="1">
      <c r="A25" s="136"/>
      <c r="B25" s="136"/>
      <c r="C25" s="136"/>
      <c r="D25" s="44" t="str">
        <f>ИТОГО!$K$7</f>
        <v>31 000-80 000</v>
      </c>
      <c r="E25" s="54">
        <f>E24*(1-ИТОГО!$L$7)</f>
        <v>8681.5</v>
      </c>
      <c r="F25" s="132"/>
      <c r="G25" s="132"/>
      <c r="H25" s="57">
        <v>3</v>
      </c>
      <c r="I25" s="57" t="s">
        <v>152</v>
      </c>
      <c r="J25" s="57" t="s">
        <v>139</v>
      </c>
      <c r="K25" s="57" t="s">
        <v>139</v>
      </c>
      <c r="L25" s="57" t="s">
        <v>141</v>
      </c>
      <c r="M25" s="58">
        <v>4.7</v>
      </c>
      <c r="N25" s="72"/>
      <c r="O25" s="72"/>
      <c r="P25" s="72"/>
    </row>
    <row r="26" spans="1:16" ht="15.75" customHeight="1">
      <c r="A26" s="136"/>
      <c r="B26" s="136"/>
      <c r="C26" s="136"/>
      <c r="D26" s="44" t="str">
        <f>ИТОГО!$K$8</f>
        <v>81 000-150 000</v>
      </c>
      <c r="E26" s="54">
        <f>E24*(1-ИТОГО!$L$8)</f>
        <v>8323.5</v>
      </c>
      <c r="F26" s="132"/>
      <c r="G26" s="132"/>
      <c r="H26" s="57">
        <v>4</v>
      </c>
      <c r="I26" s="57" t="s">
        <v>153</v>
      </c>
      <c r="J26" s="57" t="s">
        <v>139</v>
      </c>
      <c r="K26" s="57" t="s">
        <v>139</v>
      </c>
      <c r="L26" s="57" t="s">
        <v>142</v>
      </c>
      <c r="M26" s="58">
        <v>5.4</v>
      </c>
      <c r="N26" s="72"/>
      <c r="O26" s="72"/>
      <c r="P26" s="72"/>
    </row>
    <row r="27" spans="1:16" ht="15.75" customHeight="1">
      <c r="A27" s="136"/>
      <c r="B27" s="136"/>
      <c r="C27" s="136"/>
      <c r="D27" s="44" t="str">
        <f>ИТОГО!$K$9</f>
        <v>151 000-300 000</v>
      </c>
      <c r="E27" s="54">
        <f>E24*(1-ИТОГО!$L$9)</f>
        <v>8055</v>
      </c>
      <c r="F27" s="132"/>
      <c r="G27" s="132"/>
      <c r="H27" s="57">
        <v>5</v>
      </c>
      <c r="I27" s="57" t="s">
        <v>154</v>
      </c>
      <c r="J27" s="57" t="s">
        <v>143</v>
      </c>
      <c r="K27" s="57" t="s">
        <v>139</v>
      </c>
      <c r="L27" s="57" t="s">
        <v>142</v>
      </c>
      <c r="M27" s="58">
        <v>5.6</v>
      </c>
      <c r="N27" s="72"/>
      <c r="O27" s="72"/>
      <c r="P27" s="72"/>
    </row>
    <row r="28" spans="1:16" ht="15.75" customHeight="1">
      <c r="A28" s="136"/>
      <c r="B28" s="136"/>
      <c r="C28" s="136"/>
      <c r="D28" s="44" t="str">
        <f>ИТОГО!$K$10</f>
        <v>301 000-450 000</v>
      </c>
      <c r="E28" s="54">
        <f>E24*(1-ИТОГО!$L$10)</f>
        <v>7786.5</v>
      </c>
      <c r="F28" s="132"/>
      <c r="G28" s="132"/>
      <c r="H28" s="57">
        <v>6</v>
      </c>
      <c r="I28" s="57" t="s">
        <v>155</v>
      </c>
      <c r="J28" s="57" t="s">
        <v>143</v>
      </c>
      <c r="K28" s="57" t="s">
        <v>139</v>
      </c>
      <c r="L28" s="57" t="s">
        <v>110</v>
      </c>
      <c r="M28" s="58">
        <v>6.7</v>
      </c>
      <c r="N28" s="72"/>
      <c r="O28" s="72"/>
      <c r="P28" s="72"/>
    </row>
    <row r="29" spans="1:16" ht="15.75" customHeight="1">
      <c r="A29" s="136"/>
      <c r="B29" s="136"/>
      <c r="C29" s="136"/>
      <c r="D29" s="44" t="str">
        <f>ИТОГО!$K$11</f>
        <v>451 000-600 000</v>
      </c>
      <c r="E29" s="54">
        <f>E24*(1-ИТОГО!$L$11)</f>
        <v>7607.5</v>
      </c>
      <c r="F29" s="132"/>
      <c r="G29" s="132"/>
      <c r="H29" s="57">
        <v>7</v>
      </c>
      <c r="I29" s="57" t="s">
        <v>156</v>
      </c>
      <c r="J29" s="57" t="s">
        <v>144</v>
      </c>
      <c r="K29" s="57" t="s">
        <v>145</v>
      </c>
      <c r="L29" s="57" t="s">
        <v>146</v>
      </c>
      <c r="M29" s="58">
        <v>8.3000000000000007</v>
      </c>
      <c r="N29" s="72"/>
      <c r="O29" s="72"/>
      <c r="P29" s="72"/>
    </row>
    <row r="30" spans="1:16" ht="15.75" customHeight="1">
      <c r="A30" s="136"/>
      <c r="B30" s="136"/>
      <c r="C30" s="136"/>
      <c r="D30" s="44" t="str">
        <f>ИТОГО!$K$12</f>
        <v>601 000 и выше</v>
      </c>
      <c r="E30" s="54">
        <f>E24*(1-ИТОГО!$L$12)</f>
        <v>7428.5</v>
      </c>
      <c r="F30" s="132"/>
      <c r="G30" s="132"/>
      <c r="H30" s="57">
        <v>8</v>
      </c>
      <c r="I30" s="57" t="s">
        <v>157</v>
      </c>
      <c r="J30" s="57" t="s">
        <v>144</v>
      </c>
      <c r="K30" s="57" t="s">
        <v>145</v>
      </c>
      <c r="L30" s="57" t="s">
        <v>147</v>
      </c>
      <c r="M30" s="58">
        <v>9.9</v>
      </c>
      <c r="N30" s="72"/>
      <c r="O30" s="72"/>
      <c r="P30" s="72"/>
    </row>
    <row r="31" spans="1:16" ht="15.75" customHeight="1">
      <c r="A31" s="136">
        <v>5</v>
      </c>
      <c r="B31" s="136"/>
      <c r="C31" s="137" t="s">
        <v>154</v>
      </c>
      <c r="D31" s="73" t="str">
        <f>ИТОГО!$K$6</f>
        <v>0-30 000</v>
      </c>
      <c r="E31" s="46">
        <v>9400</v>
      </c>
      <c r="F31" s="132"/>
      <c r="G31" s="133">
        <f>E31*F31</f>
        <v>0</v>
      </c>
      <c r="H31" s="72"/>
      <c r="I31" s="72"/>
    </row>
    <row r="32" spans="1:16" ht="17.25" customHeight="1">
      <c r="A32" s="136"/>
      <c r="B32" s="136"/>
      <c r="C32" s="136"/>
      <c r="D32" s="44" t="str">
        <f>ИТОГО!$K$7</f>
        <v>31 000-80 000</v>
      </c>
      <c r="E32" s="54">
        <f>E31*(1-ИТОГО!$L$7)</f>
        <v>9118</v>
      </c>
      <c r="F32" s="132"/>
      <c r="G32" s="132"/>
      <c r="H32" s="72"/>
      <c r="I32" s="72"/>
    </row>
    <row r="33" spans="1:9" ht="15.75" customHeight="1">
      <c r="A33" s="136"/>
      <c r="B33" s="136"/>
      <c r="C33" s="136"/>
      <c r="D33" s="44" t="str">
        <f>ИТОГО!$K$8</f>
        <v>81 000-150 000</v>
      </c>
      <c r="E33" s="54">
        <f>E31*(1-ИТОГО!$L$8)</f>
        <v>8742</v>
      </c>
      <c r="F33" s="132"/>
      <c r="G33" s="132"/>
      <c r="H33" s="72"/>
      <c r="I33" s="72"/>
    </row>
    <row r="34" spans="1:9" ht="15.75" customHeight="1">
      <c r="A34" s="136"/>
      <c r="B34" s="136"/>
      <c r="C34" s="136"/>
      <c r="D34" s="44" t="str">
        <f>ИТОГО!$K$9</f>
        <v>151 000-300 000</v>
      </c>
      <c r="E34" s="54">
        <f>E31*(1-ИТОГО!$L$9)</f>
        <v>8460</v>
      </c>
      <c r="F34" s="132"/>
      <c r="G34" s="132"/>
      <c r="H34" s="72"/>
      <c r="I34" s="72"/>
    </row>
    <row r="35" spans="1:9" ht="15.75" customHeight="1">
      <c r="A35" s="136"/>
      <c r="B35" s="136"/>
      <c r="C35" s="136"/>
      <c r="D35" s="44" t="str">
        <f>ИТОГО!$K$10</f>
        <v>301 000-450 000</v>
      </c>
      <c r="E35" s="54">
        <f>E31*(1-ИТОГО!$L$10)</f>
        <v>8178</v>
      </c>
      <c r="F35" s="132"/>
      <c r="G35" s="132"/>
      <c r="H35" s="72"/>
      <c r="I35" s="72"/>
    </row>
    <row r="36" spans="1:9" ht="15.75" customHeight="1">
      <c r="A36" s="136"/>
      <c r="B36" s="136"/>
      <c r="C36" s="136"/>
      <c r="D36" s="44" t="str">
        <f>ИТОГО!$K$11</f>
        <v>451 000-600 000</v>
      </c>
      <c r="E36" s="54">
        <f>E31*(1-ИТОГО!$L$11)</f>
        <v>7990</v>
      </c>
      <c r="F36" s="132"/>
      <c r="G36" s="132"/>
      <c r="H36" s="72"/>
      <c r="I36" s="72"/>
    </row>
    <row r="37" spans="1:9" ht="15.75" customHeight="1">
      <c r="A37" s="136"/>
      <c r="B37" s="136"/>
      <c r="C37" s="136"/>
      <c r="D37" s="44" t="str">
        <f>ИТОГО!$K$12</f>
        <v>601 000 и выше</v>
      </c>
      <c r="E37" s="54">
        <f>E31*(1-ИТОГО!$L$12)</f>
        <v>7802</v>
      </c>
      <c r="F37" s="132"/>
      <c r="G37" s="132"/>
      <c r="H37" s="72"/>
      <c r="I37" s="72"/>
    </row>
    <row r="38" spans="1:9" ht="15.75" customHeight="1">
      <c r="A38" s="136">
        <v>6</v>
      </c>
      <c r="B38" s="136"/>
      <c r="C38" s="137" t="s">
        <v>155</v>
      </c>
      <c r="D38" s="73" t="str">
        <f>ИТОГО!$K$6</f>
        <v>0-30 000</v>
      </c>
      <c r="E38" s="46">
        <v>9700</v>
      </c>
      <c r="F38" s="132"/>
      <c r="G38" s="133">
        <f>E38*F38</f>
        <v>0</v>
      </c>
      <c r="H38" s="72"/>
      <c r="I38" s="72"/>
    </row>
    <row r="39" spans="1:9" ht="15.75" customHeight="1">
      <c r="A39" s="136"/>
      <c r="B39" s="136"/>
      <c r="C39" s="136"/>
      <c r="D39" s="44" t="str">
        <f>ИТОГО!$K$7</f>
        <v>31 000-80 000</v>
      </c>
      <c r="E39" s="54">
        <f>E38*(1-ИТОГО!$L$7)</f>
        <v>9409</v>
      </c>
      <c r="F39" s="132"/>
      <c r="G39" s="132"/>
      <c r="H39" s="72"/>
      <c r="I39" s="72"/>
    </row>
    <row r="40" spans="1:9" ht="15.75" customHeight="1">
      <c r="A40" s="136"/>
      <c r="B40" s="136"/>
      <c r="C40" s="136"/>
      <c r="D40" s="44" t="str">
        <f>ИТОГО!$K$8</f>
        <v>81 000-150 000</v>
      </c>
      <c r="E40" s="54">
        <f>E38*(1-ИТОГО!$L$8)</f>
        <v>9021</v>
      </c>
      <c r="F40" s="132"/>
      <c r="G40" s="132"/>
      <c r="H40" s="72"/>
      <c r="I40" s="72"/>
    </row>
    <row r="41" spans="1:9" ht="15.75" customHeight="1">
      <c r="A41" s="136"/>
      <c r="B41" s="136"/>
      <c r="C41" s="136"/>
      <c r="D41" s="44" t="str">
        <f>ИТОГО!$K$9</f>
        <v>151 000-300 000</v>
      </c>
      <c r="E41" s="54">
        <f>E38*(1-ИТОГО!$L$9)</f>
        <v>8730</v>
      </c>
      <c r="F41" s="132"/>
      <c r="G41" s="132"/>
      <c r="H41" s="72"/>
      <c r="I41" s="72"/>
    </row>
    <row r="42" spans="1:9" ht="18" customHeight="1">
      <c r="A42" s="136"/>
      <c r="B42" s="136"/>
      <c r="C42" s="136"/>
      <c r="D42" s="44" t="str">
        <f>ИТОГО!$K$10</f>
        <v>301 000-450 000</v>
      </c>
      <c r="E42" s="54">
        <f>E38*(1-ИТОГО!$L$10)</f>
        <v>8439</v>
      </c>
      <c r="F42" s="132"/>
      <c r="G42" s="132"/>
      <c r="H42" s="72"/>
      <c r="I42" s="72"/>
    </row>
    <row r="43" spans="1:9" ht="15.75" customHeight="1">
      <c r="A43" s="136"/>
      <c r="B43" s="136"/>
      <c r="C43" s="136"/>
      <c r="D43" s="44" t="str">
        <f>ИТОГО!$K$11</f>
        <v>451 000-600 000</v>
      </c>
      <c r="E43" s="54">
        <f>E38*(1-ИТОГО!$L$11)</f>
        <v>8245</v>
      </c>
      <c r="F43" s="132"/>
      <c r="G43" s="132"/>
      <c r="H43" s="72"/>
      <c r="I43" s="72"/>
    </row>
    <row r="44" spans="1:9" ht="15.75" customHeight="1">
      <c r="A44" s="136"/>
      <c r="B44" s="136"/>
      <c r="C44" s="136"/>
      <c r="D44" s="44" t="str">
        <f>ИТОГО!$K$12</f>
        <v>601 000 и выше</v>
      </c>
      <c r="E44" s="54">
        <f>E38*(1-ИТОГО!$L$12)</f>
        <v>8051</v>
      </c>
      <c r="F44" s="132"/>
      <c r="G44" s="132"/>
      <c r="H44" s="72"/>
      <c r="I44" s="72"/>
    </row>
    <row r="45" spans="1:9" ht="15.75" customHeight="1">
      <c r="A45" s="136">
        <v>7</v>
      </c>
      <c r="B45" s="136"/>
      <c r="C45" s="137" t="s">
        <v>158</v>
      </c>
      <c r="D45" s="73" t="str">
        <f>ИТОГО!$K$6</f>
        <v>0-30 000</v>
      </c>
      <c r="E45" s="46">
        <v>12000</v>
      </c>
      <c r="F45" s="132"/>
      <c r="G45" s="133">
        <f>E45*F45</f>
        <v>0</v>
      </c>
      <c r="H45" s="72"/>
      <c r="I45" s="72"/>
    </row>
    <row r="46" spans="1:9" ht="15.75" customHeight="1">
      <c r="A46" s="136"/>
      <c r="B46" s="136"/>
      <c r="C46" s="136"/>
      <c r="D46" s="44" t="str">
        <f>ИТОГО!$K$7</f>
        <v>31 000-80 000</v>
      </c>
      <c r="E46" s="54">
        <f>E45*(1-ИТОГО!$L$7)</f>
        <v>11640</v>
      </c>
      <c r="F46" s="132"/>
      <c r="G46" s="132"/>
      <c r="H46" s="72"/>
      <c r="I46" s="72"/>
    </row>
    <row r="47" spans="1:9" ht="15.75" customHeight="1">
      <c r="A47" s="136"/>
      <c r="B47" s="136"/>
      <c r="C47" s="136"/>
      <c r="D47" s="44" t="str">
        <f>ИТОГО!$K$8</f>
        <v>81 000-150 000</v>
      </c>
      <c r="E47" s="54">
        <f>E45*(1-ИТОГО!$L$8)</f>
        <v>11160</v>
      </c>
      <c r="F47" s="132"/>
      <c r="G47" s="132"/>
      <c r="H47" s="72"/>
      <c r="I47" s="72"/>
    </row>
    <row r="48" spans="1:9" ht="15.75" customHeight="1">
      <c r="A48" s="136"/>
      <c r="B48" s="136"/>
      <c r="C48" s="136"/>
      <c r="D48" s="44" t="str">
        <f>ИТОГО!$K$9</f>
        <v>151 000-300 000</v>
      </c>
      <c r="E48" s="54">
        <f>E45*(1-ИТОГО!$L$9)</f>
        <v>10800</v>
      </c>
      <c r="F48" s="132"/>
      <c r="G48" s="132"/>
      <c r="H48" s="72"/>
      <c r="I48" s="72"/>
    </row>
    <row r="49" spans="1:9" ht="15.75" customHeight="1">
      <c r="A49" s="136"/>
      <c r="B49" s="136"/>
      <c r="C49" s="136"/>
      <c r="D49" s="44" t="str">
        <f>ИТОГО!$K$10</f>
        <v>301 000-450 000</v>
      </c>
      <c r="E49" s="54">
        <f>E45*(1-ИТОГО!$L$10)</f>
        <v>10440</v>
      </c>
      <c r="F49" s="132"/>
      <c r="G49" s="132"/>
      <c r="H49" s="72"/>
      <c r="I49" s="72"/>
    </row>
    <row r="50" spans="1:9" ht="15.75" customHeight="1">
      <c r="A50" s="136"/>
      <c r="B50" s="136"/>
      <c r="C50" s="136"/>
      <c r="D50" s="44" t="str">
        <f>ИТОГО!$K$11</f>
        <v>451 000-600 000</v>
      </c>
      <c r="E50" s="54">
        <f>E45*(1-ИТОГО!$L$11)</f>
        <v>10200</v>
      </c>
      <c r="F50" s="132"/>
      <c r="G50" s="132"/>
      <c r="H50" s="72"/>
      <c r="I50" s="72"/>
    </row>
    <row r="51" spans="1:9" ht="18.75" customHeight="1">
      <c r="A51" s="136"/>
      <c r="B51" s="136"/>
      <c r="C51" s="136"/>
      <c r="D51" s="44" t="str">
        <f>ИТОГО!$K$12</f>
        <v>601 000 и выше</v>
      </c>
      <c r="E51" s="54">
        <f>E45*(1-ИТОГО!$L$12)</f>
        <v>9960</v>
      </c>
      <c r="F51" s="132"/>
      <c r="G51" s="132"/>
      <c r="H51" s="72"/>
      <c r="I51" s="72"/>
    </row>
    <row r="52" spans="1:9" ht="15.75" customHeight="1">
      <c r="A52" s="136">
        <v>8</v>
      </c>
      <c r="B52" s="136"/>
      <c r="C52" s="137" t="s">
        <v>157</v>
      </c>
      <c r="D52" s="73" t="str">
        <f>ИТОГО!$K$6</f>
        <v>0-30 000</v>
      </c>
      <c r="E52" s="46">
        <v>12800</v>
      </c>
      <c r="F52" s="132"/>
      <c r="G52" s="133">
        <f>E52*F52</f>
        <v>0</v>
      </c>
      <c r="H52" s="72"/>
      <c r="I52" s="72"/>
    </row>
    <row r="53" spans="1:9" ht="15.75" customHeight="1">
      <c r="A53" s="136"/>
      <c r="B53" s="136"/>
      <c r="C53" s="136"/>
      <c r="D53" s="44" t="str">
        <f>ИТОГО!$K$7</f>
        <v>31 000-80 000</v>
      </c>
      <c r="E53" s="54">
        <f>E52*(1-ИТОГО!$L$7)</f>
        <v>12416</v>
      </c>
      <c r="F53" s="132"/>
      <c r="G53" s="132"/>
      <c r="H53" s="72"/>
      <c r="I53" s="72"/>
    </row>
    <row r="54" spans="1:9" ht="15.75" customHeight="1">
      <c r="A54" s="136"/>
      <c r="B54" s="136"/>
      <c r="C54" s="136"/>
      <c r="D54" s="44" t="str">
        <f>ИТОГО!$K$8</f>
        <v>81 000-150 000</v>
      </c>
      <c r="E54" s="54">
        <f>E52*(1-ИТОГО!$L$8)</f>
        <v>11904</v>
      </c>
      <c r="F54" s="132"/>
      <c r="G54" s="132"/>
      <c r="H54" s="72"/>
      <c r="I54" s="72"/>
    </row>
    <row r="55" spans="1:9" ht="15.75" customHeight="1">
      <c r="A55" s="136"/>
      <c r="B55" s="136"/>
      <c r="C55" s="136"/>
      <c r="D55" s="44" t="str">
        <f>ИТОГО!$K$9</f>
        <v>151 000-300 000</v>
      </c>
      <c r="E55" s="54">
        <f>E52*(1-ИТОГО!$L$9)</f>
        <v>11520</v>
      </c>
      <c r="F55" s="132"/>
      <c r="G55" s="132"/>
      <c r="H55" s="72"/>
      <c r="I55" s="72"/>
    </row>
    <row r="56" spans="1:9" ht="15.75" customHeight="1">
      <c r="A56" s="136"/>
      <c r="B56" s="136"/>
      <c r="C56" s="136"/>
      <c r="D56" s="44" t="str">
        <f>ИТОГО!$K$10</f>
        <v>301 000-450 000</v>
      </c>
      <c r="E56" s="54">
        <f>E52*(1-ИТОГО!$L$10)</f>
        <v>11136</v>
      </c>
      <c r="F56" s="132"/>
      <c r="G56" s="132"/>
      <c r="H56" s="72"/>
      <c r="I56" s="72"/>
    </row>
    <row r="57" spans="1:9" ht="15.75" customHeight="1">
      <c r="A57" s="136"/>
      <c r="B57" s="136"/>
      <c r="C57" s="136"/>
      <c r="D57" s="44" t="str">
        <f>ИТОГО!$K$11</f>
        <v>451 000-600 000</v>
      </c>
      <c r="E57" s="54">
        <f>E52*(1-ИТОГО!$L$11)</f>
        <v>10880</v>
      </c>
      <c r="F57" s="132"/>
      <c r="G57" s="132"/>
      <c r="H57" s="72"/>
      <c r="I57" s="72"/>
    </row>
    <row r="58" spans="1:9" ht="15.75" customHeight="1">
      <c r="A58" s="136"/>
      <c r="B58" s="136"/>
      <c r="C58" s="136"/>
      <c r="D58" s="44" t="str">
        <f>ИТОГО!$K$12</f>
        <v>601 000 и выше</v>
      </c>
      <c r="E58" s="54">
        <f>E52*(1-ИТОГО!$L$12)</f>
        <v>10624</v>
      </c>
      <c r="F58" s="132"/>
      <c r="G58" s="132"/>
    </row>
  </sheetData>
  <mergeCells count="42">
    <mergeCell ref="A52:A58"/>
    <mergeCell ref="B52:B58"/>
    <mergeCell ref="C52:C58"/>
    <mergeCell ref="F52:F58"/>
    <mergeCell ref="G52:G58"/>
    <mergeCell ref="A45:A51"/>
    <mergeCell ref="B45:B51"/>
    <mergeCell ref="C45:C51"/>
    <mergeCell ref="F45:F51"/>
    <mergeCell ref="G45:G51"/>
    <mergeCell ref="A38:A44"/>
    <mergeCell ref="B38:B44"/>
    <mergeCell ref="C38:C44"/>
    <mergeCell ref="F38:F44"/>
    <mergeCell ref="G38:G44"/>
    <mergeCell ref="A31:A37"/>
    <mergeCell ref="B31:B37"/>
    <mergeCell ref="C31:C37"/>
    <mergeCell ref="F31:F37"/>
    <mergeCell ref="G31:G37"/>
    <mergeCell ref="A24:A30"/>
    <mergeCell ref="B24:B30"/>
    <mergeCell ref="C24:C30"/>
    <mergeCell ref="F24:F30"/>
    <mergeCell ref="G24:G30"/>
    <mergeCell ref="H10:N10"/>
    <mergeCell ref="A17:A23"/>
    <mergeCell ref="B17:B23"/>
    <mergeCell ref="C17:C23"/>
    <mergeCell ref="F17:F23"/>
    <mergeCell ref="G17:G23"/>
    <mergeCell ref="G3:G9"/>
    <mergeCell ref="A10:A16"/>
    <mergeCell ref="B10:B16"/>
    <mergeCell ref="C10:C16"/>
    <mergeCell ref="F10:F16"/>
    <mergeCell ref="G10:G16"/>
    <mergeCell ref="A1:E1"/>
    <mergeCell ref="A3:A9"/>
    <mergeCell ref="B3:B9"/>
    <mergeCell ref="C3:C9"/>
    <mergeCell ref="F3:F9"/>
  </mergeCells>
  <conditionalFormatting sqref="H3:I8">
    <cfRule type="expression" dxfId="24" priority="2">
      <formula>$H3=cur_label</formula>
    </cfRule>
  </conditionalFormatting>
  <conditionalFormatting sqref="D3:E58">
    <cfRule type="expression" dxfId="23" priority="3">
      <formula>AND($D3&lt;&gt;"",$D3=cur_label)</formula>
    </cfRule>
  </conditionalFormatting>
  <hyperlinks>
    <hyperlink ref="C3" r:id="rId1"/>
    <hyperlink ref="C10" r:id="rId2"/>
    <hyperlink ref="C17" r:id="rId3"/>
    <hyperlink ref="C24" r:id="rId4"/>
    <hyperlink ref="C31" r:id="rId5"/>
    <hyperlink ref="C38" r:id="rId6"/>
    <hyperlink ref="C45" r:id="rId7"/>
    <hyperlink ref="C52" r:id="rId8"/>
  </hyperlinks>
  <pageMargins left="0.7" right="0.7" top="0.75" bottom="0.75" header="0.511811023622047" footer="0.511811023622047"/>
  <pageSetup paperSize="9" fitToHeight="0" orientation="landscape" horizontalDpi="300" verticalDpi="300"/>
  <rowBreaks count="1" manualBreakCount="1">
    <brk id="44" max="16383" man="1"/>
  </rowBreaks>
  <drawing r:id="rId9"/>
  <tableParts count="2">
    <tablePart r:id="rId10"/>
    <tablePart r:id="rId11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5"/>
  <sheetViews>
    <sheetView zoomScaleNormal="100" workbookViewId="0">
      <pane ySplit="2" topLeftCell="A3" activePane="bottomLeft" state="frozen"/>
      <selection pane="bottomLeft" activeCell="C62" sqref="C62:C68"/>
    </sheetView>
  </sheetViews>
  <sheetFormatPr defaultColWidth="8.5703125" defaultRowHeight="15"/>
  <cols>
    <col min="1" max="1" width="5.85546875" style="1" customWidth="1"/>
    <col min="2" max="5" width="17.42578125" style="1" customWidth="1"/>
    <col min="6" max="6" width="14.28515625" style="1" customWidth="1"/>
    <col min="7" max="7" width="13.42578125" style="1" customWidth="1"/>
    <col min="8" max="8" width="16.5703125" style="1" customWidth="1"/>
    <col min="9" max="9" width="28.7109375" style="1" customWidth="1"/>
    <col min="10" max="10" width="11.140625" style="1" customWidth="1"/>
    <col min="11" max="11" width="14.140625" style="1" customWidth="1"/>
    <col min="12" max="12" width="13.140625" style="1" customWidth="1"/>
    <col min="13" max="13" width="19.140625" style="1" customWidth="1"/>
    <col min="14" max="14" width="9.7109375" style="1" customWidth="1"/>
    <col min="15" max="15" width="12.42578125" style="1" customWidth="1"/>
    <col min="16" max="16" width="15" style="1" customWidth="1"/>
  </cols>
  <sheetData>
    <row r="1" spans="1:16" ht="33" customHeight="1">
      <c r="A1" s="142" t="s">
        <v>159</v>
      </c>
      <c r="B1" s="142"/>
      <c r="C1" s="142"/>
      <c r="D1" s="142"/>
      <c r="E1" s="142"/>
      <c r="F1" s="72"/>
      <c r="G1" s="72"/>
      <c r="H1" s="72"/>
      <c r="I1" s="72"/>
    </row>
    <row r="2" spans="1:16" ht="15.75" customHeight="1">
      <c r="A2" s="63" t="s">
        <v>84</v>
      </c>
      <c r="B2" s="63" t="s">
        <v>73</v>
      </c>
      <c r="C2" s="63" t="s">
        <v>74</v>
      </c>
      <c r="D2" s="37" t="s">
        <v>75</v>
      </c>
      <c r="E2" s="63" t="s">
        <v>107</v>
      </c>
      <c r="F2" s="39" t="s">
        <v>77</v>
      </c>
      <c r="G2" s="40" t="s">
        <v>78</v>
      </c>
      <c r="H2" s="42" t="s">
        <v>78</v>
      </c>
      <c r="I2" s="42" t="s">
        <v>34</v>
      </c>
      <c r="J2" s="39" t="s">
        <v>79</v>
      </c>
      <c r="K2" s="40" t="s">
        <v>80</v>
      </c>
      <c r="L2" s="43" t="s">
        <v>34</v>
      </c>
      <c r="M2" s="40" t="s">
        <v>39</v>
      </c>
    </row>
    <row r="3" spans="1:16" ht="15.75" customHeight="1">
      <c r="A3" s="136">
        <v>1</v>
      </c>
      <c r="B3" s="136"/>
      <c r="C3" s="137" t="s">
        <v>133</v>
      </c>
      <c r="D3" s="73" t="str">
        <f>ИТОГО!$K$6</f>
        <v>0-30 000</v>
      </c>
      <c r="E3" s="46">
        <v>8400</v>
      </c>
      <c r="F3" s="132"/>
      <c r="G3" s="133">
        <f>E3*F3</f>
        <v>0</v>
      </c>
      <c r="H3" s="41" t="str">
        <f>ИТОГО!$K$7</f>
        <v>31 000-80 000</v>
      </c>
      <c r="I3" s="49">
        <f>ИТОГО!$L$7</f>
        <v>0.03</v>
      </c>
      <c r="J3" s="50">
        <f>F3+F10+F17+F24+F31+F41+F48+F55+F62+F69</f>
        <v>0</v>
      </c>
      <c r="K3" s="51">
        <f>G3+G10+G17+G24+G31+G41+G48+G55+G62+G69</f>
        <v>0</v>
      </c>
      <c r="L3" s="52">
        <f>cur_rate</f>
        <v>0</v>
      </c>
      <c r="M3" s="51">
        <f>K3-K3*L3</f>
        <v>0</v>
      </c>
    </row>
    <row r="4" spans="1:16" ht="15.75" customHeight="1">
      <c r="A4" s="136"/>
      <c r="B4" s="136"/>
      <c r="C4" s="136"/>
      <c r="D4" s="44" t="str">
        <f>ИТОГО!$K$7</f>
        <v>31 000-80 000</v>
      </c>
      <c r="E4" s="54">
        <f>E3*(1-ИТОГО!$L$7)</f>
        <v>8148</v>
      </c>
      <c r="F4" s="132"/>
      <c r="G4" s="132"/>
      <c r="H4" s="41" t="str">
        <f>ИТОГО!$K$8</f>
        <v>81 000-150 000</v>
      </c>
      <c r="I4" s="49">
        <f>ИТОГО!$L$8</f>
        <v>7.0000000000000007E-2</v>
      </c>
    </row>
    <row r="5" spans="1:16" ht="15.75" customHeight="1">
      <c r="A5" s="136"/>
      <c r="B5" s="136"/>
      <c r="C5" s="136"/>
      <c r="D5" s="44" t="str">
        <f>ИТОГО!$K$8</f>
        <v>81 000-150 000</v>
      </c>
      <c r="E5" s="54">
        <f>E3*(1-ИТОГО!$L$8)</f>
        <v>7811.9999999999991</v>
      </c>
      <c r="F5" s="132"/>
      <c r="G5" s="132"/>
      <c r="H5" s="41" t="str">
        <f>ИТОГО!$K$9</f>
        <v>151 000-300 000</v>
      </c>
      <c r="I5" s="49">
        <f>ИТОГО!$L$9</f>
        <v>0.1</v>
      </c>
    </row>
    <row r="6" spans="1:16" ht="18" customHeight="1">
      <c r="A6" s="136"/>
      <c r="B6" s="136"/>
      <c r="C6" s="136"/>
      <c r="D6" s="44" t="str">
        <f>ИТОГО!$K$9</f>
        <v>151 000-300 000</v>
      </c>
      <c r="E6" s="54">
        <f>E3*(1-ИТОГО!$L$9)</f>
        <v>7560</v>
      </c>
      <c r="F6" s="132"/>
      <c r="G6" s="132"/>
      <c r="H6" s="41" t="str">
        <f>ИТОГО!$K$10</f>
        <v>301 000-450 000</v>
      </c>
      <c r="I6" s="49">
        <f>ИТОГО!$L$10</f>
        <v>0.13</v>
      </c>
    </row>
    <row r="7" spans="1:16" ht="18" customHeight="1">
      <c r="A7" s="136"/>
      <c r="B7" s="136"/>
      <c r="C7" s="136"/>
      <c r="D7" s="44" t="str">
        <f>ИТОГО!$K$10</f>
        <v>301 000-450 000</v>
      </c>
      <c r="E7" s="54">
        <f>E3*(1-ИТОГО!$L$10)</f>
        <v>7308</v>
      </c>
      <c r="F7" s="132"/>
      <c r="G7" s="132"/>
      <c r="H7" s="41" t="str">
        <f>ИТОГО!$K$11</f>
        <v>451 000-600 000</v>
      </c>
      <c r="I7" s="49">
        <f>ИТОГО!$L$11</f>
        <v>0.15</v>
      </c>
    </row>
    <row r="8" spans="1:16" ht="15.75" customHeight="1">
      <c r="A8" s="136"/>
      <c r="B8" s="136"/>
      <c r="C8" s="136"/>
      <c r="D8" s="44" t="str">
        <f>ИТОГО!$K$11</f>
        <v>451 000-600 000</v>
      </c>
      <c r="E8" s="54">
        <f>E3*(1-ИТОГО!$L$11)</f>
        <v>7140</v>
      </c>
      <c r="F8" s="132"/>
      <c r="G8" s="132"/>
      <c r="H8" s="55" t="str">
        <f>ИТОГО!$K$12</f>
        <v>601 000 и выше</v>
      </c>
      <c r="I8" s="56">
        <f>ИТОГО!$L$12</f>
        <v>0.17</v>
      </c>
    </row>
    <row r="9" spans="1:16" ht="15.75" customHeight="1">
      <c r="A9" s="136"/>
      <c r="B9" s="136"/>
      <c r="C9" s="136"/>
      <c r="D9" s="44" t="str">
        <f>ИТОГО!$K$12</f>
        <v>601 000 и выше</v>
      </c>
      <c r="E9" s="54">
        <f>E3*(1-ИТОГО!$L$12)</f>
        <v>6972</v>
      </c>
      <c r="F9" s="132"/>
      <c r="G9" s="132"/>
      <c r="H9" s="72"/>
      <c r="I9" s="72"/>
    </row>
    <row r="10" spans="1:16" ht="15.75" customHeight="1">
      <c r="A10" s="136">
        <v>2</v>
      </c>
      <c r="B10" s="136"/>
      <c r="C10" s="137" t="s">
        <v>134</v>
      </c>
      <c r="D10" s="73" t="str">
        <f>ИТОГО!$K$6</f>
        <v>0-30 000</v>
      </c>
      <c r="E10" s="46">
        <v>8700</v>
      </c>
      <c r="F10" s="132"/>
      <c r="G10" s="133">
        <f>E10*F10</f>
        <v>0</v>
      </c>
      <c r="H10" s="139" t="s">
        <v>83</v>
      </c>
      <c r="I10" s="139"/>
      <c r="J10" s="139"/>
      <c r="K10" s="139"/>
      <c r="L10" s="139"/>
      <c r="M10" s="139"/>
      <c r="N10" s="139"/>
    </row>
    <row r="11" spans="1:16" ht="15.75" customHeight="1">
      <c r="A11" s="136"/>
      <c r="B11" s="136"/>
      <c r="C11" s="136"/>
      <c r="D11" s="44" t="str">
        <f>ИТОГО!$K$7</f>
        <v>31 000-80 000</v>
      </c>
      <c r="E11" s="54">
        <f>E10*(1-ИТОГО!$L$7)</f>
        <v>8439</v>
      </c>
      <c r="F11" s="132"/>
      <c r="G11" s="132"/>
      <c r="H11" s="57" t="s">
        <v>84</v>
      </c>
      <c r="I11" s="57" t="s">
        <v>74</v>
      </c>
      <c r="J11" s="57" t="s">
        <v>86</v>
      </c>
      <c r="K11" s="57" t="s">
        <v>87</v>
      </c>
      <c r="L11" s="57" t="s">
        <v>88</v>
      </c>
      <c r="M11" s="57" t="s">
        <v>89</v>
      </c>
      <c r="N11" s="57" t="s">
        <v>102</v>
      </c>
      <c r="O11" s="57" t="s">
        <v>131</v>
      </c>
      <c r="P11" s="57" t="s">
        <v>92</v>
      </c>
    </row>
    <row r="12" spans="1:16" ht="15.75" customHeight="1">
      <c r="A12" s="136"/>
      <c r="B12" s="136"/>
      <c r="C12" s="136"/>
      <c r="D12" s="44" t="str">
        <f>ИТОГО!$K$8</f>
        <v>81 000-150 000</v>
      </c>
      <c r="E12" s="54">
        <f>E10*(1-ИТОГО!$L$8)</f>
        <v>8090.9999999999991</v>
      </c>
      <c r="F12" s="132"/>
      <c r="G12" s="132"/>
      <c r="H12" s="57">
        <v>1</v>
      </c>
      <c r="I12" s="57" t="s">
        <v>133</v>
      </c>
      <c r="J12" s="57">
        <v>330</v>
      </c>
      <c r="K12" s="57">
        <v>330</v>
      </c>
      <c r="L12" s="57">
        <v>410</v>
      </c>
      <c r="M12" s="58">
        <f>J12*K12*L12*0.000000001</f>
        <v>4.4649000000000001E-2</v>
      </c>
      <c r="N12" s="58">
        <v>6</v>
      </c>
      <c r="O12" s="58">
        <f>N12*F3</f>
        <v>0</v>
      </c>
      <c r="P12" s="58">
        <f>M12*F3</f>
        <v>0</v>
      </c>
    </row>
    <row r="13" spans="1:16" ht="15.75" customHeight="1">
      <c r="A13" s="136"/>
      <c r="B13" s="136"/>
      <c r="C13" s="136"/>
      <c r="D13" s="44" t="str">
        <f>ИТОГО!$K$9</f>
        <v>151 000-300 000</v>
      </c>
      <c r="E13" s="54">
        <f>E10*(1-ИТОГО!$L$9)</f>
        <v>7830</v>
      </c>
      <c r="F13" s="132"/>
      <c r="G13" s="132"/>
      <c r="H13" s="57">
        <v>2</v>
      </c>
      <c r="I13" s="74" t="s">
        <v>134</v>
      </c>
      <c r="J13" s="57">
        <v>380</v>
      </c>
      <c r="K13" s="57">
        <v>330</v>
      </c>
      <c r="L13" s="57">
        <v>410</v>
      </c>
      <c r="M13" s="58">
        <f>J13*K13*L13*0.000000001</f>
        <v>5.1414000000000001E-2</v>
      </c>
      <c r="N13" s="58">
        <v>6.6</v>
      </c>
      <c r="O13" s="58">
        <f>N13*F10</f>
        <v>0</v>
      </c>
      <c r="P13" s="58">
        <f>M13*F10</f>
        <v>0</v>
      </c>
    </row>
    <row r="14" spans="1:16" ht="15.75" customHeight="1">
      <c r="A14" s="136"/>
      <c r="B14" s="136"/>
      <c r="C14" s="136"/>
      <c r="D14" s="44" t="str">
        <f>ИТОГО!$K$10</f>
        <v>301 000-450 000</v>
      </c>
      <c r="E14" s="54">
        <f>E10*(1-ИТОГО!$L$10)</f>
        <v>7569</v>
      </c>
      <c r="F14" s="132"/>
      <c r="G14" s="132"/>
      <c r="H14" s="57">
        <v>3</v>
      </c>
      <c r="I14" s="57" t="s">
        <v>135</v>
      </c>
      <c r="J14" s="57">
        <v>370</v>
      </c>
      <c r="K14" s="57">
        <v>330</v>
      </c>
      <c r="L14" s="57">
        <v>560</v>
      </c>
      <c r="M14" s="58">
        <f>J14*K14*L14*0.000000001</f>
        <v>6.8376000000000006E-2</v>
      </c>
      <c r="N14" s="58">
        <v>7.8</v>
      </c>
      <c r="O14" s="58">
        <f>N14*F17</f>
        <v>0</v>
      </c>
      <c r="P14" s="58">
        <f>M14*F17</f>
        <v>0</v>
      </c>
    </row>
    <row r="15" spans="1:16" ht="15.75" customHeight="1">
      <c r="A15" s="136"/>
      <c r="B15" s="136"/>
      <c r="C15" s="136"/>
      <c r="D15" s="44" t="str">
        <f>ИТОГО!$K$11</f>
        <v>451 000-600 000</v>
      </c>
      <c r="E15" s="54">
        <f>E10*(1-ИТОГО!$L$11)</f>
        <v>7395</v>
      </c>
      <c r="F15" s="132"/>
      <c r="G15" s="132"/>
      <c r="H15" s="57">
        <v>4</v>
      </c>
      <c r="I15" s="57" t="s">
        <v>136</v>
      </c>
      <c r="J15" s="57">
        <v>400</v>
      </c>
      <c r="K15" s="57">
        <v>420</v>
      </c>
      <c r="L15" s="57">
        <v>500</v>
      </c>
      <c r="M15" s="58">
        <f>J15*K15*L15*0.000000001</f>
        <v>8.4000000000000005E-2</v>
      </c>
      <c r="N15" s="58">
        <v>9.4</v>
      </c>
      <c r="O15" s="58">
        <f>N15*F24</f>
        <v>0</v>
      </c>
      <c r="P15" s="58">
        <f>M15*F24</f>
        <v>0</v>
      </c>
    </row>
    <row r="16" spans="1:16" ht="15.75" customHeight="1">
      <c r="A16" s="136"/>
      <c r="B16" s="136"/>
      <c r="C16" s="136"/>
      <c r="D16" s="44" t="str">
        <f>ИТОГО!$K$12</f>
        <v>601 000 и выше</v>
      </c>
      <c r="E16" s="54">
        <f>E10*(1-ИТОГО!$L$12)</f>
        <v>7221</v>
      </c>
      <c r="F16" s="132"/>
      <c r="G16" s="132"/>
      <c r="H16" s="57">
        <v>5</v>
      </c>
      <c r="I16" s="57" t="s">
        <v>137</v>
      </c>
      <c r="J16" s="57">
        <v>390</v>
      </c>
      <c r="K16" s="57">
        <v>420</v>
      </c>
      <c r="L16" s="57">
        <v>650</v>
      </c>
      <c r="M16" s="58">
        <f>J16*K16*L16*0.000000001</f>
        <v>0.10647000000000001</v>
      </c>
      <c r="N16" s="75">
        <v>11.3</v>
      </c>
      <c r="O16" s="58">
        <f>N16*F31</f>
        <v>0</v>
      </c>
      <c r="P16" s="58">
        <f>M16*F31</f>
        <v>0</v>
      </c>
    </row>
    <row r="17" spans="1:16" ht="15.75" customHeight="1">
      <c r="A17" s="136">
        <v>3</v>
      </c>
      <c r="B17" s="136"/>
      <c r="C17" s="137" t="s">
        <v>135</v>
      </c>
      <c r="D17" s="73" t="str">
        <f>ИТОГО!$K$6</f>
        <v>0-30 000</v>
      </c>
      <c r="E17" s="46">
        <v>8900</v>
      </c>
      <c r="F17" s="132"/>
      <c r="G17" s="133">
        <f>E17*F17</f>
        <v>0</v>
      </c>
      <c r="H17" s="140" t="s">
        <v>138</v>
      </c>
      <c r="I17" s="140"/>
      <c r="J17" s="140"/>
      <c r="K17" s="140"/>
      <c r="L17" s="140"/>
      <c r="M17" s="59"/>
      <c r="N17" s="57" t="s">
        <v>100</v>
      </c>
      <c r="O17" s="58">
        <f>SUM(O12:O16)</f>
        <v>0</v>
      </c>
      <c r="P17" s="58">
        <f>SUM(P12:P16)</f>
        <v>0</v>
      </c>
    </row>
    <row r="18" spans="1:16" ht="15.75" customHeight="1">
      <c r="A18" s="136"/>
      <c r="B18" s="136"/>
      <c r="C18" s="136"/>
      <c r="D18" s="44" t="str">
        <f>ИТОГО!$K$7</f>
        <v>31 000-80 000</v>
      </c>
      <c r="E18" s="54">
        <f>E17*(1-ИТОГО!$L$7)</f>
        <v>8633</v>
      </c>
      <c r="F18" s="132"/>
      <c r="G18" s="132"/>
      <c r="H18" s="57" t="s">
        <v>84</v>
      </c>
      <c r="I18" s="57" t="s">
        <v>74</v>
      </c>
      <c r="J18" s="57" t="s">
        <v>86</v>
      </c>
      <c r="K18" s="57" t="s">
        <v>87</v>
      </c>
      <c r="L18" s="57" t="s">
        <v>88</v>
      </c>
      <c r="M18" s="57" t="s">
        <v>102</v>
      </c>
    </row>
    <row r="19" spans="1:16" ht="15.75" customHeight="1">
      <c r="A19" s="136"/>
      <c r="B19" s="136"/>
      <c r="C19" s="136"/>
      <c r="D19" s="44" t="str">
        <f>ИТОГО!$K$8</f>
        <v>81 000-150 000</v>
      </c>
      <c r="E19" s="54">
        <f>E17*(1-ИТОГО!$L$8)</f>
        <v>8277</v>
      </c>
      <c r="F19" s="132"/>
      <c r="G19" s="132"/>
      <c r="H19" s="57">
        <v>1</v>
      </c>
      <c r="I19" s="57" t="s">
        <v>133</v>
      </c>
      <c r="J19" s="57" t="s">
        <v>139</v>
      </c>
      <c r="K19" s="57" t="s">
        <v>139</v>
      </c>
      <c r="L19" s="57" t="s">
        <v>142</v>
      </c>
      <c r="M19" s="58">
        <v>5.6</v>
      </c>
    </row>
    <row r="20" spans="1:16" ht="15.75" customHeight="1">
      <c r="A20" s="136"/>
      <c r="B20" s="136"/>
      <c r="C20" s="136"/>
      <c r="D20" s="44" t="str">
        <f>ИТОГО!$K$9</f>
        <v>151 000-300 000</v>
      </c>
      <c r="E20" s="54">
        <f>E17*(1-ИТОГО!$L$9)</f>
        <v>8010</v>
      </c>
      <c r="F20" s="132"/>
      <c r="G20" s="132"/>
      <c r="H20" s="57">
        <v>2</v>
      </c>
      <c r="I20" s="57" t="s">
        <v>134</v>
      </c>
      <c r="J20" s="57" t="s">
        <v>143</v>
      </c>
      <c r="K20" s="57" t="s">
        <v>139</v>
      </c>
      <c r="L20" s="57" t="s">
        <v>142</v>
      </c>
      <c r="M20" s="58">
        <v>6.1</v>
      </c>
    </row>
    <row r="21" spans="1:16" ht="15.75" customHeight="1">
      <c r="A21" s="136"/>
      <c r="B21" s="136"/>
      <c r="C21" s="136"/>
      <c r="D21" s="44" t="str">
        <f>ИТОГО!$K$10</f>
        <v>301 000-450 000</v>
      </c>
      <c r="E21" s="54">
        <f>E17*(1-ИТОГО!$L$10)</f>
        <v>7743</v>
      </c>
      <c r="F21" s="132"/>
      <c r="G21" s="132"/>
      <c r="H21" s="57">
        <v>3</v>
      </c>
      <c r="I21" s="57" t="s">
        <v>135</v>
      </c>
      <c r="J21" s="57" t="s">
        <v>143</v>
      </c>
      <c r="K21" s="57" t="s">
        <v>139</v>
      </c>
      <c r="L21" s="57" t="s">
        <v>110</v>
      </c>
      <c r="M21" s="58">
        <v>7.2</v>
      </c>
    </row>
    <row r="22" spans="1:16" ht="15.75" customHeight="1">
      <c r="A22" s="136"/>
      <c r="B22" s="136"/>
      <c r="C22" s="136"/>
      <c r="D22" s="44" t="str">
        <f>ИТОГО!$K$11</f>
        <v>451 000-600 000</v>
      </c>
      <c r="E22" s="54">
        <f>E17*(1-ИТОГО!$L$11)</f>
        <v>7565</v>
      </c>
      <c r="F22" s="132"/>
      <c r="G22" s="132"/>
      <c r="H22" s="57">
        <v>4</v>
      </c>
      <c r="I22" s="57" t="s">
        <v>136</v>
      </c>
      <c r="J22" s="57" t="s">
        <v>144</v>
      </c>
      <c r="K22" s="57" t="s">
        <v>145</v>
      </c>
      <c r="L22" s="57" t="s">
        <v>146</v>
      </c>
      <c r="M22" s="58">
        <v>8.6999999999999993</v>
      </c>
    </row>
    <row r="23" spans="1:16" ht="15.75" customHeight="1">
      <c r="A23" s="136"/>
      <c r="B23" s="136"/>
      <c r="C23" s="136"/>
      <c r="D23" s="44" t="str">
        <f>ИТОГО!$K$12</f>
        <v>601 000 и выше</v>
      </c>
      <c r="E23" s="54">
        <f>E17*(1-ИТОГО!$L$12)</f>
        <v>7387</v>
      </c>
      <c r="F23" s="132"/>
      <c r="G23" s="132"/>
      <c r="H23" s="57">
        <v>5</v>
      </c>
      <c r="I23" s="57" t="s">
        <v>137</v>
      </c>
      <c r="J23" s="57" t="s">
        <v>144</v>
      </c>
      <c r="K23" s="57" t="s">
        <v>145</v>
      </c>
      <c r="L23" s="57" t="s">
        <v>147</v>
      </c>
      <c r="M23" s="58">
        <v>10.53</v>
      </c>
    </row>
    <row r="24" spans="1:16" ht="15.75" customHeight="1">
      <c r="A24" s="136">
        <v>4</v>
      </c>
      <c r="B24" s="136"/>
      <c r="C24" s="137" t="s">
        <v>148</v>
      </c>
      <c r="D24" s="73" t="str">
        <f>ИТОГО!$K$6</f>
        <v>0-30 000</v>
      </c>
      <c r="E24" s="46">
        <v>9500</v>
      </c>
      <c r="F24" s="132"/>
      <c r="G24" s="133">
        <f>E24*F24</f>
        <v>0</v>
      </c>
      <c r="H24" s="72"/>
      <c r="I24" s="72"/>
    </row>
    <row r="25" spans="1:16" ht="15.75" customHeight="1">
      <c r="A25" s="136"/>
      <c r="B25" s="136"/>
      <c r="C25" s="136"/>
      <c r="D25" s="44" t="str">
        <f>ИТОГО!$K$7</f>
        <v>31 000-80 000</v>
      </c>
      <c r="E25" s="54">
        <f>E24*(1-ИТОГО!$L$7)</f>
        <v>9215</v>
      </c>
      <c r="F25" s="132"/>
      <c r="G25" s="132"/>
      <c r="H25" s="72"/>
      <c r="I25" s="72"/>
    </row>
    <row r="26" spans="1:16" ht="15.75" customHeight="1">
      <c r="A26" s="136"/>
      <c r="B26" s="136"/>
      <c r="C26" s="136"/>
      <c r="D26" s="44" t="str">
        <f>ИТОГО!$K$8</f>
        <v>81 000-150 000</v>
      </c>
      <c r="E26" s="54">
        <f>E24*(1-ИТОГО!$L$8)</f>
        <v>8835</v>
      </c>
      <c r="F26" s="132"/>
      <c r="G26" s="132"/>
      <c r="H26" s="72"/>
      <c r="I26" s="72"/>
    </row>
    <row r="27" spans="1:16" ht="15.75" customHeight="1">
      <c r="A27" s="136"/>
      <c r="B27" s="136"/>
      <c r="C27" s="136"/>
      <c r="D27" s="44" t="str">
        <f>ИТОГО!$K$9</f>
        <v>151 000-300 000</v>
      </c>
      <c r="E27" s="54">
        <f>E24*(1-ИТОГО!$L$9)</f>
        <v>8550</v>
      </c>
      <c r="F27" s="132"/>
      <c r="G27" s="132"/>
      <c r="H27" s="72"/>
      <c r="I27" s="72"/>
    </row>
    <row r="28" spans="1:16" ht="15.75" customHeight="1">
      <c r="A28" s="136"/>
      <c r="B28" s="136"/>
      <c r="C28" s="136"/>
      <c r="D28" s="44" t="str">
        <f>ИТОГО!$K$10</f>
        <v>301 000-450 000</v>
      </c>
      <c r="E28" s="54">
        <f>E24*(1-ИТОГО!$L$10)</f>
        <v>8265</v>
      </c>
      <c r="F28" s="132"/>
      <c r="G28" s="132"/>
      <c r="H28" s="72"/>
      <c r="I28" s="72"/>
    </row>
    <row r="29" spans="1:16" ht="15.75" customHeight="1">
      <c r="A29" s="136"/>
      <c r="B29" s="136"/>
      <c r="C29" s="136"/>
      <c r="D29" s="44" t="str">
        <f>ИТОГО!$K$11</f>
        <v>451 000-600 000</v>
      </c>
      <c r="E29" s="54">
        <f>E24*(1-ИТОГО!$L$11)</f>
        <v>8075</v>
      </c>
      <c r="F29" s="132"/>
      <c r="G29" s="132"/>
      <c r="H29" s="72"/>
      <c r="I29" s="72"/>
    </row>
    <row r="30" spans="1:16" ht="15.75" customHeight="1">
      <c r="A30" s="136"/>
      <c r="B30" s="136"/>
      <c r="C30" s="136"/>
      <c r="D30" s="44" t="str">
        <f>ИТОГО!$K$12</f>
        <v>601 000 и выше</v>
      </c>
      <c r="E30" s="54">
        <f>E24*(1-ИТОГО!$L$12)</f>
        <v>7885</v>
      </c>
      <c r="F30" s="132"/>
      <c r="G30" s="132"/>
      <c r="H30" s="72"/>
      <c r="I30" s="72"/>
    </row>
    <row r="31" spans="1:16" ht="15.75" customHeight="1">
      <c r="A31" s="136">
        <v>5</v>
      </c>
      <c r="B31" s="136"/>
      <c r="C31" s="137" t="s">
        <v>137</v>
      </c>
      <c r="D31" s="73" t="str">
        <f>ИТОГО!$K$6</f>
        <v>0-30 000</v>
      </c>
      <c r="E31" s="46">
        <v>10500</v>
      </c>
      <c r="F31" s="132"/>
      <c r="G31" s="133">
        <f>E31*F31</f>
        <v>0</v>
      </c>
      <c r="H31" s="72"/>
      <c r="I31" s="72"/>
    </row>
    <row r="32" spans="1:16" ht="15.75" customHeight="1">
      <c r="A32" s="136"/>
      <c r="B32" s="136"/>
      <c r="C32" s="136"/>
      <c r="D32" s="44" t="str">
        <f>ИТОГО!$K$7</f>
        <v>31 000-80 000</v>
      </c>
      <c r="E32" s="54">
        <f>E31*(1-ИТОГО!$L$7)</f>
        <v>10185</v>
      </c>
      <c r="F32" s="132"/>
      <c r="G32" s="132"/>
      <c r="H32" s="72"/>
      <c r="I32" s="72"/>
    </row>
    <row r="33" spans="1:16" ht="15.75" customHeight="1">
      <c r="A33" s="136"/>
      <c r="B33" s="136"/>
      <c r="C33" s="136"/>
      <c r="D33" s="44" t="str">
        <f>ИТОГО!$K$8</f>
        <v>81 000-150 000</v>
      </c>
      <c r="E33" s="54">
        <f>E31*(1-ИТОГО!$L$8)</f>
        <v>9765</v>
      </c>
      <c r="F33" s="132"/>
      <c r="G33" s="132"/>
      <c r="H33" s="72"/>
      <c r="I33" s="72"/>
    </row>
    <row r="34" spans="1:16" ht="15.75" customHeight="1">
      <c r="A34" s="136"/>
      <c r="B34" s="136"/>
      <c r="C34" s="136"/>
      <c r="D34" s="44" t="str">
        <f>ИТОГО!$K$9</f>
        <v>151 000-300 000</v>
      </c>
      <c r="E34" s="54">
        <f>E31*(1-ИТОГО!$L$9)</f>
        <v>9450</v>
      </c>
      <c r="F34" s="132"/>
      <c r="G34" s="132"/>
      <c r="H34" s="72"/>
      <c r="I34" s="72"/>
    </row>
    <row r="35" spans="1:16" ht="15.75" customHeight="1">
      <c r="A35" s="136"/>
      <c r="B35" s="136"/>
      <c r="C35" s="136"/>
      <c r="D35" s="44" t="str">
        <f>ИТОГО!$K$10</f>
        <v>301 000-450 000</v>
      </c>
      <c r="E35" s="54">
        <f>E31*(1-ИТОГО!$L$10)</f>
        <v>9135</v>
      </c>
      <c r="F35" s="132"/>
      <c r="G35" s="132"/>
      <c r="H35" s="72"/>
      <c r="I35" s="72"/>
    </row>
    <row r="36" spans="1:16" ht="15.75" customHeight="1">
      <c r="A36" s="136"/>
      <c r="B36" s="136"/>
      <c r="C36" s="136"/>
      <c r="D36" s="44" t="str">
        <f>ИТОГО!$K$11</f>
        <v>451 000-600 000</v>
      </c>
      <c r="E36" s="54">
        <f>E31*(1-ИТОГО!$L$11)</f>
        <v>8925</v>
      </c>
      <c r="F36" s="132"/>
      <c r="G36" s="132"/>
      <c r="H36" s="72"/>
      <c r="I36" s="72"/>
    </row>
    <row r="37" spans="1:16" ht="15.75" customHeight="1">
      <c r="A37" s="136"/>
      <c r="B37" s="136"/>
      <c r="C37" s="136"/>
      <c r="D37" s="44" t="str">
        <f>ИТОГО!$K$12</f>
        <v>601 000 и выше</v>
      </c>
      <c r="E37" s="54">
        <f>E31*(1-ИТОГО!$L$12)</f>
        <v>8715</v>
      </c>
      <c r="F37" s="132"/>
      <c r="G37" s="132"/>
      <c r="H37" s="72"/>
      <c r="I37" s="72"/>
    </row>
    <row r="38" spans="1:16">
      <c r="A38" s="82"/>
      <c r="B38" s="82"/>
      <c r="C38" s="82"/>
      <c r="D38" s="82"/>
      <c r="E38" s="82"/>
      <c r="F38" s="72"/>
      <c r="G38" s="72"/>
      <c r="H38" s="72"/>
      <c r="I38" s="72"/>
    </row>
    <row r="39" spans="1:16" ht="15.75" customHeight="1">
      <c r="A39" s="142" t="s">
        <v>160</v>
      </c>
      <c r="B39" s="142"/>
      <c r="C39" s="142"/>
      <c r="D39" s="142"/>
      <c r="E39" s="142"/>
      <c r="F39" s="72"/>
      <c r="G39" s="72"/>
      <c r="H39" s="72"/>
      <c r="I39" s="72"/>
    </row>
    <row r="40" spans="1:16" ht="15.75" customHeight="1">
      <c r="A40" s="63" t="s">
        <v>84</v>
      </c>
      <c r="B40" s="63" t="s">
        <v>73</v>
      </c>
      <c r="C40" s="63" t="s">
        <v>74</v>
      </c>
      <c r="D40" s="37" t="s">
        <v>75</v>
      </c>
      <c r="E40" s="63" t="s">
        <v>161</v>
      </c>
      <c r="F40" s="39" t="s">
        <v>77</v>
      </c>
      <c r="G40" s="40" t="s">
        <v>78</v>
      </c>
      <c r="H40" s="139" t="s">
        <v>83</v>
      </c>
      <c r="I40" s="139"/>
      <c r="J40" s="139"/>
      <c r="K40" s="139"/>
      <c r="L40" s="139"/>
      <c r="M40" s="139"/>
      <c r="N40" s="139"/>
      <c r="O40" s="72"/>
      <c r="P40" s="72"/>
    </row>
    <row r="41" spans="1:16" ht="15.75" customHeight="1">
      <c r="A41" s="136">
        <v>1</v>
      </c>
      <c r="B41" s="136"/>
      <c r="C41" s="137" t="s">
        <v>153</v>
      </c>
      <c r="D41" s="73" t="str">
        <f>ИТОГО!$K$6</f>
        <v>0-30 000</v>
      </c>
      <c r="E41" s="46">
        <v>9750</v>
      </c>
      <c r="F41" s="132"/>
      <c r="G41" s="133">
        <f>E41*F41</f>
        <v>0</v>
      </c>
      <c r="H41" s="57" t="s">
        <v>84</v>
      </c>
      <c r="I41" s="57" t="s">
        <v>74</v>
      </c>
      <c r="J41" s="57" t="s">
        <v>86</v>
      </c>
      <c r="K41" s="57" t="s">
        <v>87</v>
      </c>
      <c r="L41" s="57" t="s">
        <v>88</v>
      </c>
      <c r="M41" s="57" t="s">
        <v>89</v>
      </c>
      <c r="N41" s="57" t="s">
        <v>102</v>
      </c>
      <c r="O41" s="57" t="s">
        <v>131</v>
      </c>
      <c r="P41" s="57" t="s">
        <v>92</v>
      </c>
    </row>
    <row r="42" spans="1:16" ht="15.75" customHeight="1">
      <c r="A42" s="136"/>
      <c r="B42" s="136"/>
      <c r="C42" s="136"/>
      <c r="D42" s="44" t="str">
        <f>ИТОГО!$K$7</f>
        <v>31 000-80 000</v>
      </c>
      <c r="E42" s="54">
        <f>E41*(1-ИТОГО!$L$7)</f>
        <v>9457.5</v>
      </c>
      <c r="F42" s="132"/>
      <c r="G42" s="132"/>
      <c r="H42" s="57">
        <v>1</v>
      </c>
      <c r="I42" s="57" t="s">
        <v>153</v>
      </c>
      <c r="J42" s="57">
        <v>330</v>
      </c>
      <c r="K42" s="57">
        <v>330</v>
      </c>
      <c r="L42" s="57">
        <v>410</v>
      </c>
      <c r="M42" s="58">
        <f>J42*K42*L42*0.000000001</f>
        <v>4.4649000000000001E-2</v>
      </c>
      <c r="N42" s="58">
        <v>5.9</v>
      </c>
      <c r="O42" s="58">
        <f>N42*F41</f>
        <v>0</v>
      </c>
      <c r="P42" s="58">
        <f>M42*F41</f>
        <v>0</v>
      </c>
    </row>
    <row r="43" spans="1:16" ht="15.75" customHeight="1">
      <c r="A43" s="136"/>
      <c r="B43" s="136"/>
      <c r="C43" s="136"/>
      <c r="D43" s="44" t="str">
        <f>ИТОГО!$K$8</f>
        <v>81 000-150 000</v>
      </c>
      <c r="E43" s="54">
        <f>E41*(1-ИТОГО!$L$8)</f>
        <v>9067.5</v>
      </c>
      <c r="F43" s="132"/>
      <c r="G43" s="132"/>
      <c r="H43" s="57">
        <v>2</v>
      </c>
      <c r="I43" s="57" t="s">
        <v>154</v>
      </c>
      <c r="J43" s="57">
        <v>380</v>
      </c>
      <c r="K43" s="57">
        <v>330</v>
      </c>
      <c r="L43" s="57">
        <v>410</v>
      </c>
      <c r="M43" s="58">
        <f>J43*K43*L43*0.000000001</f>
        <v>5.1414000000000001E-2</v>
      </c>
      <c r="N43" s="58">
        <v>6.2</v>
      </c>
      <c r="O43" s="58">
        <f>N43*F48</f>
        <v>0</v>
      </c>
      <c r="P43" s="58">
        <f>M43*F48</f>
        <v>0</v>
      </c>
    </row>
    <row r="44" spans="1:16" ht="15.75" customHeight="1">
      <c r="A44" s="136"/>
      <c r="B44" s="136"/>
      <c r="C44" s="136"/>
      <c r="D44" s="44" t="str">
        <f>ИТОГО!$K$9</f>
        <v>151 000-300 000</v>
      </c>
      <c r="E44" s="54">
        <f>E41*(1-ИТОГО!$L$9)</f>
        <v>8775</v>
      </c>
      <c r="F44" s="132"/>
      <c r="G44" s="132"/>
      <c r="H44" s="57">
        <v>3</v>
      </c>
      <c r="I44" s="57" t="s">
        <v>155</v>
      </c>
      <c r="J44" s="57">
        <v>370</v>
      </c>
      <c r="K44" s="57">
        <v>330</v>
      </c>
      <c r="L44" s="57">
        <v>560</v>
      </c>
      <c r="M44" s="58">
        <f>J44*K44*L44*0.000000001</f>
        <v>6.8376000000000006E-2</v>
      </c>
      <c r="N44" s="58">
        <v>7.3</v>
      </c>
      <c r="O44" s="58">
        <f>N44*F55</f>
        <v>0</v>
      </c>
      <c r="P44" s="58">
        <f>M44*F55</f>
        <v>0</v>
      </c>
    </row>
    <row r="45" spans="1:16" ht="15.75" customHeight="1">
      <c r="A45" s="136"/>
      <c r="B45" s="136"/>
      <c r="C45" s="136"/>
      <c r="D45" s="44" t="str">
        <f>ИТОГО!$K$10</f>
        <v>301 000-450 000</v>
      </c>
      <c r="E45" s="54">
        <f>E41*(1-ИТОГО!$L$10)</f>
        <v>8482.5</v>
      </c>
      <c r="F45" s="132"/>
      <c r="G45" s="132"/>
      <c r="H45" s="57">
        <v>4</v>
      </c>
      <c r="I45" s="57" t="s">
        <v>156</v>
      </c>
      <c r="J45" s="57">
        <v>400</v>
      </c>
      <c r="K45" s="57">
        <v>420</v>
      </c>
      <c r="L45" s="57">
        <v>500</v>
      </c>
      <c r="M45" s="58">
        <f>J45*K45*L45*0.000000001</f>
        <v>8.4000000000000005E-2</v>
      </c>
      <c r="N45" s="58">
        <v>9</v>
      </c>
      <c r="O45" s="58">
        <f>N45*F62</f>
        <v>0</v>
      </c>
      <c r="P45" s="58">
        <f>M45*F62</f>
        <v>0</v>
      </c>
    </row>
    <row r="46" spans="1:16" ht="15.75" customHeight="1">
      <c r="A46" s="136"/>
      <c r="B46" s="136"/>
      <c r="C46" s="136"/>
      <c r="D46" s="44" t="str">
        <f>ИТОГО!$K$11</f>
        <v>451 000-600 000</v>
      </c>
      <c r="E46" s="54">
        <f>E41*(1-ИТОГО!$L$11)</f>
        <v>8287.5</v>
      </c>
      <c r="F46" s="132"/>
      <c r="G46" s="132"/>
      <c r="H46" s="57">
        <v>5</v>
      </c>
      <c r="I46" s="57" t="s">
        <v>157</v>
      </c>
      <c r="J46" s="57">
        <v>390</v>
      </c>
      <c r="K46" s="57">
        <v>420</v>
      </c>
      <c r="L46" s="57">
        <v>650</v>
      </c>
      <c r="M46" s="58">
        <f>J46*K46*L46*0.000000001</f>
        <v>0.10647000000000001</v>
      </c>
      <c r="N46" s="75">
        <v>10.9</v>
      </c>
      <c r="O46" s="58">
        <f>N46*F69</f>
        <v>0</v>
      </c>
      <c r="P46" s="58">
        <f>M46*F69</f>
        <v>0</v>
      </c>
    </row>
    <row r="47" spans="1:16" ht="15.75" customHeight="1">
      <c r="A47" s="136"/>
      <c r="B47" s="136"/>
      <c r="C47" s="136"/>
      <c r="D47" s="44" t="str">
        <f>ИТОГО!$K$12</f>
        <v>601 000 и выше</v>
      </c>
      <c r="E47" s="54">
        <f>E41*(1-ИТОГО!$L$12)</f>
        <v>8092.5</v>
      </c>
      <c r="F47" s="132"/>
      <c r="G47" s="132"/>
      <c r="H47" s="72"/>
      <c r="I47" s="72"/>
      <c r="J47" s="72"/>
      <c r="K47" s="72"/>
      <c r="L47" s="72"/>
      <c r="M47" s="72"/>
      <c r="N47" s="83" t="s">
        <v>100</v>
      </c>
      <c r="O47" s="58">
        <f>SUM(O42:O46)</f>
        <v>0</v>
      </c>
      <c r="P47" s="58">
        <f>SUM(P42:P46)</f>
        <v>0</v>
      </c>
    </row>
    <row r="48" spans="1:16" ht="15.75" customHeight="1">
      <c r="A48" s="136">
        <v>2</v>
      </c>
      <c r="B48" s="136"/>
      <c r="C48" s="137" t="s">
        <v>154</v>
      </c>
      <c r="D48" s="73" t="str">
        <f>ИТОГО!$K$6</f>
        <v>0-30 000</v>
      </c>
      <c r="E48" s="46">
        <v>10200</v>
      </c>
      <c r="F48" s="132"/>
      <c r="G48" s="133">
        <f>E48*F48</f>
        <v>0</v>
      </c>
      <c r="H48" s="59"/>
      <c r="I48" s="60" t="s">
        <v>101</v>
      </c>
      <c r="J48" s="59"/>
      <c r="K48" s="59"/>
      <c r="L48" s="59"/>
      <c r="M48" s="59"/>
      <c r="N48" s="72"/>
      <c r="O48" s="72"/>
      <c r="P48" s="72"/>
    </row>
    <row r="49" spans="1:16" ht="15.75" customHeight="1">
      <c r="A49" s="136"/>
      <c r="B49" s="136"/>
      <c r="C49" s="136"/>
      <c r="D49" s="44" t="str">
        <f>ИТОГО!$K$7</f>
        <v>31 000-80 000</v>
      </c>
      <c r="E49" s="54">
        <f>E48*(1-ИТОГО!$L$7)</f>
        <v>9894</v>
      </c>
      <c r="F49" s="132"/>
      <c r="G49" s="132"/>
      <c r="H49" s="57" t="s">
        <v>84</v>
      </c>
      <c r="I49" s="57" t="s">
        <v>74</v>
      </c>
      <c r="J49" s="57" t="s">
        <v>86</v>
      </c>
      <c r="K49" s="57" t="s">
        <v>87</v>
      </c>
      <c r="L49" s="57" t="s">
        <v>88</v>
      </c>
      <c r="M49" s="57" t="s">
        <v>102</v>
      </c>
      <c r="N49" s="72"/>
      <c r="O49" s="72"/>
      <c r="P49" s="72"/>
    </row>
    <row r="50" spans="1:16" ht="15.75" customHeight="1">
      <c r="A50" s="136"/>
      <c r="B50" s="136"/>
      <c r="C50" s="136"/>
      <c r="D50" s="44" t="str">
        <f>ИТОГО!$K$8</f>
        <v>81 000-150 000</v>
      </c>
      <c r="E50" s="54">
        <f>E48*(1-ИТОГО!$L$8)</f>
        <v>9486</v>
      </c>
      <c r="F50" s="132"/>
      <c r="G50" s="132"/>
      <c r="H50" s="57">
        <v>1</v>
      </c>
      <c r="I50" s="57" t="s">
        <v>153</v>
      </c>
      <c r="J50" s="57" t="s">
        <v>139</v>
      </c>
      <c r="K50" s="57" t="s">
        <v>139</v>
      </c>
      <c r="L50" s="57" t="s">
        <v>142</v>
      </c>
      <c r="M50" s="58">
        <v>5.4</v>
      </c>
      <c r="N50" s="72"/>
      <c r="O50" s="72"/>
      <c r="P50" s="72"/>
    </row>
    <row r="51" spans="1:16" ht="15.75" customHeight="1">
      <c r="A51" s="136"/>
      <c r="B51" s="136"/>
      <c r="C51" s="136"/>
      <c r="D51" s="44" t="str">
        <f>ИТОГО!$K$9</f>
        <v>151 000-300 000</v>
      </c>
      <c r="E51" s="54">
        <f>E48*(1-ИТОГО!$L$9)</f>
        <v>9180</v>
      </c>
      <c r="F51" s="132"/>
      <c r="G51" s="132"/>
      <c r="H51" s="57">
        <v>2</v>
      </c>
      <c r="I51" s="57" t="s">
        <v>154</v>
      </c>
      <c r="J51" s="57" t="s">
        <v>143</v>
      </c>
      <c r="K51" s="57" t="s">
        <v>139</v>
      </c>
      <c r="L51" s="57" t="s">
        <v>142</v>
      </c>
      <c r="M51" s="58">
        <v>5.6</v>
      </c>
      <c r="N51" s="72"/>
      <c r="O51" s="72"/>
      <c r="P51" s="72"/>
    </row>
    <row r="52" spans="1:16" ht="15.75" customHeight="1">
      <c r="A52" s="136"/>
      <c r="B52" s="136"/>
      <c r="C52" s="136"/>
      <c r="D52" s="44" t="str">
        <f>ИТОГО!$K$10</f>
        <v>301 000-450 000</v>
      </c>
      <c r="E52" s="54">
        <f>E48*(1-ИТОГО!$L$10)</f>
        <v>8874</v>
      </c>
      <c r="F52" s="132"/>
      <c r="G52" s="132"/>
      <c r="H52" s="57">
        <v>3</v>
      </c>
      <c r="I52" s="57" t="s">
        <v>155</v>
      </c>
      <c r="J52" s="57" t="s">
        <v>143</v>
      </c>
      <c r="K52" s="57" t="s">
        <v>139</v>
      </c>
      <c r="L52" s="57" t="s">
        <v>110</v>
      </c>
      <c r="M52" s="58">
        <v>6.7</v>
      </c>
      <c r="N52" s="72"/>
      <c r="O52" s="72"/>
      <c r="P52" s="72"/>
    </row>
    <row r="53" spans="1:16" ht="15.75" customHeight="1">
      <c r="A53" s="136"/>
      <c r="B53" s="136"/>
      <c r="C53" s="136"/>
      <c r="D53" s="44" t="str">
        <f>ИТОГО!$K$11</f>
        <v>451 000-600 000</v>
      </c>
      <c r="E53" s="54">
        <f>E48*(1-ИТОГО!$L$11)</f>
        <v>8670</v>
      </c>
      <c r="F53" s="132"/>
      <c r="G53" s="132"/>
      <c r="H53" s="57">
        <v>4</v>
      </c>
      <c r="I53" s="57" t="s">
        <v>156</v>
      </c>
      <c r="J53" s="57" t="s">
        <v>144</v>
      </c>
      <c r="K53" s="57" t="s">
        <v>145</v>
      </c>
      <c r="L53" s="57" t="s">
        <v>146</v>
      </c>
      <c r="M53" s="58">
        <v>8.3000000000000007</v>
      </c>
      <c r="N53" s="72"/>
      <c r="O53" s="72"/>
      <c r="P53" s="72"/>
    </row>
    <row r="54" spans="1:16" ht="15.75" customHeight="1">
      <c r="A54" s="136"/>
      <c r="B54" s="136"/>
      <c r="C54" s="136"/>
      <c r="D54" s="44" t="str">
        <f>ИТОГО!$K$12</f>
        <v>601 000 и выше</v>
      </c>
      <c r="E54" s="54">
        <f>E48*(1-ИТОГО!$L$12)</f>
        <v>8466</v>
      </c>
      <c r="F54" s="132"/>
      <c r="G54" s="132"/>
      <c r="H54" s="57">
        <v>5</v>
      </c>
      <c r="I54" s="57" t="s">
        <v>157</v>
      </c>
      <c r="J54" s="57" t="s">
        <v>144</v>
      </c>
      <c r="K54" s="57" t="s">
        <v>145</v>
      </c>
      <c r="L54" s="57" t="s">
        <v>147</v>
      </c>
      <c r="M54" s="58">
        <v>9.9</v>
      </c>
      <c r="N54" s="72"/>
      <c r="O54" s="72"/>
      <c r="P54" s="72"/>
    </row>
    <row r="55" spans="1:16" ht="15.75" customHeight="1">
      <c r="A55" s="136">
        <v>3</v>
      </c>
      <c r="B55" s="136"/>
      <c r="C55" s="137" t="s">
        <v>155</v>
      </c>
      <c r="D55" s="73" t="str">
        <f>ИТОГО!$K$6</f>
        <v>0-30 000</v>
      </c>
      <c r="E55" s="46">
        <v>10500</v>
      </c>
      <c r="F55" s="132"/>
      <c r="G55" s="133">
        <f>E55*F55</f>
        <v>0</v>
      </c>
      <c r="H55" s="72"/>
      <c r="I55" s="72"/>
    </row>
    <row r="56" spans="1:16" ht="15.75" customHeight="1">
      <c r="A56" s="136"/>
      <c r="B56" s="136"/>
      <c r="C56" s="136"/>
      <c r="D56" s="44" t="str">
        <f>ИТОГО!$K$7</f>
        <v>31 000-80 000</v>
      </c>
      <c r="E56" s="54">
        <f>E55*(1-ИТОГО!$L$7)</f>
        <v>10185</v>
      </c>
      <c r="F56" s="132"/>
      <c r="G56" s="132"/>
      <c r="H56" s="72"/>
      <c r="I56" s="72"/>
    </row>
    <row r="57" spans="1:16" ht="15.75" customHeight="1">
      <c r="A57" s="136"/>
      <c r="B57" s="136"/>
      <c r="C57" s="136"/>
      <c r="D57" s="44" t="str">
        <f>ИТОГО!$K$8</f>
        <v>81 000-150 000</v>
      </c>
      <c r="E57" s="54">
        <f>E55*(1-ИТОГО!$L$8)</f>
        <v>9765</v>
      </c>
      <c r="F57" s="132"/>
      <c r="G57" s="132"/>
      <c r="H57" s="72"/>
      <c r="I57" s="72"/>
    </row>
    <row r="58" spans="1:16" ht="15.75" customHeight="1">
      <c r="A58" s="136"/>
      <c r="B58" s="136"/>
      <c r="C58" s="136"/>
      <c r="D58" s="44" t="str">
        <f>ИТОГО!$K$9</f>
        <v>151 000-300 000</v>
      </c>
      <c r="E58" s="54">
        <f>E55*(1-ИТОГО!$L$9)</f>
        <v>9450</v>
      </c>
      <c r="F58" s="132"/>
      <c r="G58" s="132"/>
      <c r="H58" s="72"/>
      <c r="I58" s="72"/>
    </row>
    <row r="59" spans="1:16" ht="15.75" customHeight="1">
      <c r="A59" s="136"/>
      <c r="B59" s="136"/>
      <c r="C59" s="136"/>
      <c r="D59" s="44" t="str">
        <f>ИТОГО!$K$10</f>
        <v>301 000-450 000</v>
      </c>
      <c r="E59" s="54">
        <f>E55*(1-ИТОГО!$L$10)</f>
        <v>9135</v>
      </c>
      <c r="F59" s="132"/>
      <c r="G59" s="132"/>
      <c r="H59" s="72"/>
      <c r="I59" s="72"/>
    </row>
    <row r="60" spans="1:16" ht="15.75" customHeight="1">
      <c r="A60" s="136"/>
      <c r="B60" s="136"/>
      <c r="C60" s="136"/>
      <c r="D60" s="44" t="str">
        <f>ИТОГО!$K$11</f>
        <v>451 000-600 000</v>
      </c>
      <c r="E60" s="54">
        <f>E55*(1-ИТОГО!$L$11)</f>
        <v>8925</v>
      </c>
      <c r="F60" s="132"/>
      <c r="G60" s="132"/>
      <c r="H60" s="72"/>
      <c r="I60" s="72"/>
    </row>
    <row r="61" spans="1:16" ht="15.75" customHeight="1">
      <c r="A61" s="136"/>
      <c r="B61" s="136"/>
      <c r="C61" s="136"/>
      <c r="D61" s="44" t="str">
        <f>ИТОГО!$K$12</f>
        <v>601 000 и выше</v>
      </c>
      <c r="E61" s="54">
        <f>E55*(1-ИТОГО!$L$12)</f>
        <v>8715</v>
      </c>
      <c r="F61" s="132"/>
      <c r="G61" s="132"/>
      <c r="H61" s="72"/>
      <c r="I61" s="72"/>
    </row>
    <row r="62" spans="1:16" ht="15.75" customHeight="1">
      <c r="A62" s="136">
        <v>4</v>
      </c>
      <c r="B62" s="136"/>
      <c r="C62" s="137" t="s">
        <v>158</v>
      </c>
      <c r="D62" s="73" t="str">
        <f>ИТОГО!$K$6</f>
        <v>0-30 000</v>
      </c>
      <c r="E62" s="46">
        <v>12800</v>
      </c>
      <c r="F62" s="132"/>
      <c r="G62" s="133">
        <f>E62*F62</f>
        <v>0</v>
      </c>
      <c r="H62" s="72"/>
      <c r="I62" s="72"/>
    </row>
    <row r="63" spans="1:16" ht="15.75" customHeight="1">
      <c r="A63" s="136"/>
      <c r="B63" s="136"/>
      <c r="C63" s="136"/>
      <c r="D63" s="44" t="str">
        <f>ИТОГО!$K$7</f>
        <v>31 000-80 000</v>
      </c>
      <c r="E63" s="54">
        <f>E62*(1-ИТОГО!$L$7)</f>
        <v>12416</v>
      </c>
      <c r="F63" s="132"/>
      <c r="G63" s="132"/>
      <c r="H63" s="72"/>
      <c r="I63" s="72"/>
    </row>
    <row r="64" spans="1:16" ht="15.75" customHeight="1">
      <c r="A64" s="136"/>
      <c r="B64" s="136"/>
      <c r="C64" s="136"/>
      <c r="D64" s="44" t="str">
        <f>ИТОГО!$K$8</f>
        <v>81 000-150 000</v>
      </c>
      <c r="E64" s="54">
        <f>E62*(1-ИТОГО!$L$8)</f>
        <v>11904</v>
      </c>
      <c r="F64" s="132"/>
      <c r="G64" s="132"/>
      <c r="H64" s="72"/>
      <c r="I64" s="72"/>
    </row>
    <row r="65" spans="1:9" ht="15.75" customHeight="1">
      <c r="A65" s="136"/>
      <c r="B65" s="136"/>
      <c r="C65" s="136"/>
      <c r="D65" s="44" t="str">
        <f>ИТОГО!$K$9</f>
        <v>151 000-300 000</v>
      </c>
      <c r="E65" s="54">
        <f>E62*(1-ИТОГО!$L$9)</f>
        <v>11520</v>
      </c>
      <c r="F65" s="132"/>
      <c r="G65" s="132"/>
      <c r="H65" s="72"/>
      <c r="I65" s="72"/>
    </row>
    <row r="66" spans="1:9" ht="15.75" customHeight="1">
      <c r="A66" s="136"/>
      <c r="B66" s="136"/>
      <c r="C66" s="136"/>
      <c r="D66" s="44" t="str">
        <f>ИТОГО!$K$10</f>
        <v>301 000-450 000</v>
      </c>
      <c r="E66" s="54">
        <f>E62*(1-ИТОГО!$L$10)</f>
        <v>11136</v>
      </c>
      <c r="F66" s="132"/>
      <c r="G66" s="132"/>
      <c r="H66" s="72"/>
      <c r="I66" s="72"/>
    </row>
    <row r="67" spans="1:9" ht="15.75" customHeight="1">
      <c r="A67" s="136"/>
      <c r="B67" s="136"/>
      <c r="C67" s="136"/>
      <c r="D67" s="44" t="str">
        <f>ИТОГО!$K$11</f>
        <v>451 000-600 000</v>
      </c>
      <c r="E67" s="54">
        <f>E62*(1-ИТОГО!$L$11)</f>
        <v>10880</v>
      </c>
      <c r="F67" s="132"/>
      <c r="G67" s="132"/>
      <c r="H67" s="72"/>
      <c r="I67" s="72"/>
    </row>
    <row r="68" spans="1:9" ht="15.75" customHeight="1">
      <c r="A68" s="136"/>
      <c r="B68" s="136"/>
      <c r="C68" s="136"/>
      <c r="D68" s="44" t="str">
        <f>ИТОГО!$K$12</f>
        <v>601 000 и выше</v>
      </c>
      <c r="E68" s="54">
        <f>E62*(1-ИТОГО!$L$12)</f>
        <v>10624</v>
      </c>
      <c r="F68" s="132"/>
      <c r="G68" s="132"/>
      <c r="H68" s="72"/>
      <c r="I68" s="72"/>
    </row>
    <row r="69" spans="1:9" ht="15.75" customHeight="1">
      <c r="A69" s="136">
        <v>5</v>
      </c>
      <c r="B69" s="136"/>
      <c r="C69" s="137" t="s">
        <v>157</v>
      </c>
      <c r="D69" s="73" t="str">
        <f>ИТОГО!$K$6</f>
        <v>0-30 000</v>
      </c>
      <c r="E69" s="46">
        <v>13600</v>
      </c>
      <c r="F69" s="132"/>
      <c r="G69" s="133">
        <f>E69*F69</f>
        <v>0</v>
      </c>
      <c r="H69" s="72"/>
      <c r="I69" s="72"/>
    </row>
    <row r="70" spans="1:9" ht="15.75" customHeight="1">
      <c r="A70" s="136"/>
      <c r="B70" s="136"/>
      <c r="C70" s="136"/>
      <c r="D70" s="44" t="str">
        <f>ИТОГО!$K$7</f>
        <v>31 000-80 000</v>
      </c>
      <c r="E70" s="54">
        <f>E69*(1-ИТОГО!$L$7)</f>
        <v>13192</v>
      </c>
      <c r="F70" s="132"/>
      <c r="G70" s="132"/>
      <c r="H70" s="72"/>
      <c r="I70" s="72"/>
    </row>
    <row r="71" spans="1:9" ht="15.75" customHeight="1">
      <c r="A71" s="136"/>
      <c r="B71" s="136"/>
      <c r="C71" s="136"/>
      <c r="D71" s="44" t="str">
        <f>ИТОГО!$K$8</f>
        <v>81 000-150 000</v>
      </c>
      <c r="E71" s="54">
        <f>E69*(1-ИТОГО!$L$8)</f>
        <v>12648</v>
      </c>
      <c r="F71" s="132"/>
      <c r="G71" s="132"/>
      <c r="H71" s="72"/>
      <c r="I71" s="72"/>
    </row>
    <row r="72" spans="1:9" ht="15.75" customHeight="1">
      <c r="A72" s="136"/>
      <c r="B72" s="136"/>
      <c r="C72" s="136"/>
      <c r="D72" s="44" t="str">
        <f>ИТОГО!$K$9</f>
        <v>151 000-300 000</v>
      </c>
      <c r="E72" s="54">
        <f>E69*(1-ИТОГО!$L$9)</f>
        <v>12240</v>
      </c>
      <c r="F72" s="132"/>
      <c r="G72" s="132"/>
      <c r="H72" s="72"/>
      <c r="I72" s="72"/>
    </row>
    <row r="73" spans="1:9" ht="15.75" customHeight="1">
      <c r="A73" s="136"/>
      <c r="B73" s="136"/>
      <c r="C73" s="136"/>
      <c r="D73" s="44" t="str">
        <f>ИТОГО!$K$10</f>
        <v>301 000-450 000</v>
      </c>
      <c r="E73" s="54">
        <f>E69*(1-ИТОГО!$L$10)</f>
        <v>11832</v>
      </c>
      <c r="F73" s="132"/>
      <c r="G73" s="132"/>
      <c r="H73" s="72"/>
      <c r="I73" s="72"/>
    </row>
    <row r="74" spans="1:9" ht="15.75" customHeight="1">
      <c r="A74" s="136"/>
      <c r="B74" s="136"/>
      <c r="C74" s="136"/>
      <c r="D74" s="44" t="str">
        <f>ИТОГО!$K$11</f>
        <v>451 000-600 000</v>
      </c>
      <c r="E74" s="54">
        <f>E69*(1-ИТОГО!$L$11)</f>
        <v>11560</v>
      </c>
      <c r="F74" s="132"/>
      <c r="G74" s="132"/>
      <c r="H74" s="72"/>
      <c r="I74" s="72"/>
    </row>
    <row r="75" spans="1:9" ht="15.75" customHeight="1">
      <c r="A75" s="136"/>
      <c r="B75" s="136"/>
      <c r="C75" s="136"/>
      <c r="D75" s="44" t="str">
        <f>ИТОГО!$K$12</f>
        <v>601 000 и выше</v>
      </c>
      <c r="E75" s="54">
        <f>E69*(1-ИТОГО!$L$12)</f>
        <v>11288</v>
      </c>
      <c r="F75" s="132"/>
      <c r="G75" s="132"/>
      <c r="H75" s="72"/>
      <c r="I75" s="72"/>
    </row>
  </sheetData>
  <mergeCells count="55">
    <mergeCell ref="A69:A75"/>
    <mergeCell ref="B69:B75"/>
    <mergeCell ref="C69:C75"/>
    <mergeCell ref="F69:F75"/>
    <mergeCell ref="G69:G75"/>
    <mergeCell ref="A62:A68"/>
    <mergeCell ref="B62:B68"/>
    <mergeCell ref="C62:C68"/>
    <mergeCell ref="F62:F68"/>
    <mergeCell ref="G62:G68"/>
    <mergeCell ref="A55:A61"/>
    <mergeCell ref="B55:B61"/>
    <mergeCell ref="C55:C61"/>
    <mergeCell ref="F55:F61"/>
    <mergeCell ref="G55:G61"/>
    <mergeCell ref="A48:A54"/>
    <mergeCell ref="B48:B54"/>
    <mergeCell ref="C48:C54"/>
    <mergeCell ref="F48:F54"/>
    <mergeCell ref="G48:G54"/>
    <mergeCell ref="A39:E39"/>
    <mergeCell ref="H40:N40"/>
    <mergeCell ref="A41:A47"/>
    <mergeCell ref="B41:B47"/>
    <mergeCell ref="C41:C47"/>
    <mergeCell ref="F41:F47"/>
    <mergeCell ref="G41:G47"/>
    <mergeCell ref="A31:A37"/>
    <mergeCell ref="B31:B37"/>
    <mergeCell ref="C31:C37"/>
    <mergeCell ref="F31:F37"/>
    <mergeCell ref="G31:G37"/>
    <mergeCell ref="A24:A30"/>
    <mergeCell ref="B24:B30"/>
    <mergeCell ref="C24:C30"/>
    <mergeCell ref="F24:F30"/>
    <mergeCell ref="G24:G30"/>
    <mergeCell ref="H10:N10"/>
    <mergeCell ref="A17:A23"/>
    <mergeCell ref="B17:B23"/>
    <mergeCell ref="C17:C23"/>
    <mergeCell ref="F17:F23"/>
    <mergeCell ref="G17:G23"/>
    <mergeCell ref="H17:L17"/>
    <mergeCell ref="G3:G9"/>
    <mergeCell ref="A10:A16"/>
    <mergeCell ref="B10:B16"/>
    <mergeCell ref="C10:C16"/>
    <mergeCell ref="F10:F16"/>
    <mergeCell ref="G10:G16"/>
    <mergeCell ref="A1:E1"/>
    <mergeCell ref="A3:A9"/>
    <mergeCell ref="B3:B9"/>
    <mergeCell ref="C3:C9"/>
    <mergeCell ref="F3:F9"/>
  </mergeCells>
  <conditionalFormatting sqref="H3:I8">
    <cfRule type="expression" dxfId="22" priority="2">
      <formula>$H3=cur_label</formula>
    </cfRule>
  </conditionalFormatting>
  <conditionalFormatting sqref="D3:E75">
    <cfRule type="expression" dxfId="21" priority="3">
      <formula>AND($D3&lt;&gt;"",$D3=cur_label)</formula>
    </cfRule>
  </conditionalFormatting>
  <hyperlinks>
    <hyperlink ref="C3" r:id="rId1"/>
    <hyperlink ref="C10" r:id="rId2"/>
    <hyperlink ref="C17" r:id="rId3"/>
    <hyperlink ref="C24" r:id="rId4"/>
    <hyperlink ref="C31" r:id="rId5"/>
    <hyperlink ref="C41" r:id="rId6"/>
    <hyperlink ref="C48" r:id="rId7"/>
    <hyperlink ref="C55" r:id="rId8"/>
    <hyperlink ref="C62" r:id="rId9"/>
    <hyperlink ref="C69" r:id="rId10"/>
  </hyperlinks>
  <pageMargins left="0.7" right="0.7" top="0.75" bottom="0.75" header="0.511811023622047" footer="0.511811023622047"/>
  <pageSetup paperSize="9" fitToHeight="0" orientation="landscape" horizontalDpi="300" verticalDpi="300"/>
  <rowBreaks count="1" manualBreakCount="1">
    <brk id="38" max="16383" man="1"/>
  </rowBreaks>
  <drawing r:id="rId11"/>
  <tableParts count="3">
    <tablePart r:id="rId12"/>
    <tablePart r:id="rId13"/>
    <tablePart r:id="rId14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9"/>
  <sheetViews>
    <sheetView zoomScaleNormal="100" workbookViewId="0">
      <pane ySplit="2" topLeftCell="A3" activePane="bottomLeft" state="frozen"/>
      <selection pane="bottomLeft" activeCell="C25" sqref="C25"/>
    </sheetView>
  </sheetViews>
  <sheetFormatPr defaultColWidth="8.5703125" defaultRowHeight="15"/>
  <cols>
    <col min="1" max="1" width="5.85546875" style="1" customWidth="1"/>
    <col min="2" max="5" width="17.42578125" style="1" customWidth="1"/>
    <col min="6" max="6" width="14.28515625" style="1" customWidth="1"/>
    <col min="7" max="7" width="13.42578125" style="1" customWidth="1"/>
    <col min="8" max="8" width="16.7109375" style="1" customWidth="1"/>
    <col min="9" max="9" width="10.85546875" style="1" customWidth="1"/>
    <col min="10" max="10" width="11.140625" style="1" customWidth="1"/>
    <col min="11" max="11" width="13.7109375" style="1" customWidth="1"/>
    <col min="12" max="12" width="13.140625" style="1" customWidth="1"/>
    <col min="13" max="13" width="19.140625" style="1" customWidth="1"/>
    <col min="15" max="15" width="12.42578125" style="1" customWidth="1"/>
    <col min="16" max="16" width="15" style="1" customWidth="1"/>
  </cols>
  <sheetData>
    <row r="1" spans="1:16" ht="39" customHeight="1">
      <c r="A1" s="135" t="s">
        <v>162</v>
      </c>
      <c r="B1" s="135"/>
      <c r="C1" s="135"/>
      <c r="D1" s="135"/>
      <c r="E1" s="135"/>
    </row>
    <row r="2" spans="1:16" ht="15.75" customHeight="1">
      <c r="A2" s="63" t="s">
        <v>84</v>
      </c>
      <c r="B2" s="63" t="s">
        <v>73</v>
      </c>
      <c r="C2" s="63" t="s">
        <v>74</v>
      </c>
      <c r="D2" s="37" t="s">
        <v>75</v>
      </c>
      <c r="E2" s="63" t="s">
        <v>76</v>
      </c>
      <c r="F2" s="39" t="s">
        <v>77</v>
      </c>
      <c r="G2" s="40" t="s">
        <v>78</v>
      </c>
      <c r="H2" s="42" t="s">
        <v>78</v>
      </c>
      <c r="I2" s="42" t="s">
        <v>34</v>
      </c>
      <c r="J2" s="39" t="s">
        <v>79</v>
      </c>
      <c r="K2" s="40" t="s">
        <v>80</v>
      </c>
      <c r="L2" s="43" t="s">
        <v>34</v>
      </c>
      <c r="M2" s="40" t="s">
        <v>39</v>
      </c>
    </row>
    <row r="3" spans="1:16" ht="15.75" customHeight="1">
      <c r="A3" s="136">
        <v>1</v>
      </c>
      <c r="B3" s="136"/>
      <c r="C3" s="136" t="s">
        <v>163</v>
      </c>
      <c r="D3" s="73" t="str">
        <f>ИТОГО!$K$6</f>
        <v>0-30 000</v>
      </c>
      <c r="E3" s="46">
        <v>12200</v>
      </c>
      <c r="F3" s="132"/>
      <c r="G3" s="133">
        <f>E3*F3</f>
        <v>0</v>
      </c>
      <c r="H3" s="41" t="str">
        <f>ИТОГО!$K$7</f>
        <v>31 000-80 000</v>
      </c>
      <c r="I3" s="49">
        <f>ИТОГО!$L$7</f>
        <v>0.03</v>
      </c>
      <c r="J3" s="50">
        <f>F3+F13</f>
        <v>0</v>
      </c>
      <c r="K3" s="51">
        <f>G3+G13</f>
        <v>0</v>
      </c>
      <c r="L3" s="52">
        <f>cur_rate</f>
        <v>0</v>
      </c>
      <c r="M3" s="51">
        <f>K3-K3*L3</f>
        <v>0</v>
      </c>
    </row>
    <row r="4" spans="1:16" ht="15.75" customHeight="1">
      <c r="A4" s="136"/>
      <c r="B4" s="136"/>
      <c r="C4" s="136"/>
      <c r="D4" s="44" t="str">
        <f>ИТОГО!$K$7</f>
        <v>31 000-80 000</v>
      </c>
      <c r="E4" s="54">
        <f>E3*(1-ИТОГО!$L$7)</f>
        <v>11834</v>
      </c>
      <c r="F4" s="132"/>
      <c r="G4" s="132"/>
      <c r="H4" s="41" t="str">
        <f>ИТОГО!$K$8</f>
        <v>81 000-150 000</v>
      </c>
      <c r="I4" s="49">
        <f>ИТОГО!$L$8</f>
        <v>7.0000000000000007E-2</v>
      </c>
    </row>
    <row r="5" spans="1:16" ht="15.75" customHeight="1">
      <c r="A5" s="136"/>
      <c r="B5" s="136"/>
      <c r="C5" s="136"/>
      <c r="D5" s="44" t="str">
        <f>ИТОГО!$K$8</f>
        <v>81 000-150 000</v>
      </c>
      <c r="E5" s="54">
        <f>E3*(1-ИТОГО!$L$8)</f>
        <v>11346</v>
      </c>
      <c r="F5" s="132"/>
      <c r="G5" s="132"/>
      <c r="H5" s="41" t="str">
        <f>ИТОГО!$K$9</f>
        <v>151 000-300 000</v>
      </c>
      <c r="I5" s="49">
        <f>ИТОГО!$L$9</f>
        <v>0.1</v>
      </c>
    </row>
    <row r="6" spans="1:16" ht="15.75" customHeight="1">
      <c r="A6" s="136"/>
      <c r="B6" s="136"/>
      <c r="C6" s="136"/>
      <c r="D6" s="44" t="str">
        <f>ИТОГО!$K$9</f>
        <v>151 000-300 000</v>
      </c>
      <c r="E6" s="54">
        <f>E3*(1-ИТОГО!$L$9)</f>
        <v>10980</v>
      </c>
      <c r="F6" s="132"/>
      <c r="G6" s="132"/>
      <c r="H6" s="41" t="str">
        <f>ИТОГО!$K$10</f>
        <v>301 000-450 000</v>
      </c>
      <c r="I6" s="49">
        <f>ИТОГО!$L$10</f>
        <v>0.13</v>
      </c>
    </row>
    <row r="7" spans="1:16" ht="15.75" customHeight="1">
      <c r="A7" s="136"/>
      <c r="B7" s="136"/>
      <c r="C7" s="136"/>
      <c r="D7" s="44" t="str">
        <f>ИТОГО!$K$10</f>
        <v>301 000-450 000</v>
      </c>
      <c r="E7" s="54">
        <f>E3*(1-ИТОГО!$L$10)</f>
        <v>10614</v>
      </c>
      <c r="F7" s="132"/>
      <c r="G7" s="132"/>
      <c r="H7" s="41" t="str">
        <f>ИТОГО!$K$11</f>
        <v>451 000-600 000</v>
      </c>
      <c r="I7" s="49">
        <f>ИТОГО!$L$11</f>
        <v>0.15</v>
      </c>
    </row>
    <row r="8" spans="1:16" ht="15.75" customHeight="1">
      <c r="A8" s="136"/>
      <c r="B8" s="136"/>
      <c r="C8" s="136"/>
      <c r="D8" s="44" t="str">
        <f>ИТОГО!$K$11</f>
        <v>451 000-600 000</v>
      </c>
      <c r="E8" s="54">
        <f>E3*(1-ИТОГО!$L$11)</f>
        <v>10370</v>
      </c>
      <c r="F8" s="132"/>
      <c r="G8" s="132"/>
      <c r="H8" s="55" t="str">
        <f>ИТОГО!$K$12</f>
        <v>601 000 и выше</v>
      </c>
      <c r="I8" s="56">
        <f>ИТОГО!$L$12</f>
        <v>0.17</v>
      </c>
    </row>
    <row r="9" spans="1:16" ht="15.75" customHeight="1">
      <c r="A9" s="136"/>
      <c r="B9" s="136"/>
      <c r="C9" s="136"/>
      <c r="D9" s="44" t="str">
        <f>ИТОГО!$K$12</f>
        <v>601 000 и выше</v>
      </c>
      <c r="E9" s="54">
        <f>E3*(1-ИТОГО!$L$12)</f>
        <v>10126</v>
      </c>
      <c r="F9" s="132"/>
      <c r="G9" s="132"/>
    </row>
    <row r="10" spans="1:16">
      <c r="A10" s="82"/>
      <c r="B10" s="82"/>
      <c r="C10" s="82"/>
      <c r="D10" s="82"/>
      <c r="E10" s="82"/>
      <c r="H10" s="139" t="s">
        <v>83</v>
      </c>
      <c r="I10" s="139"/>
      <c r="J10" s="139"/>
      <c r="K10" s="139"/>
      <c r="L10" s="139"/>
      <c r="M10" s="139"/>
      <c r="N10" s="139"/>
      <c r="O10" s="72"/>
      <c r="P10" s="72"/>
    </row>
    <row r="11" spans="1:16" ht="15.75" customHeight="1">
      <c r="A11" s="138" t="s">
        <v>164</v>
      </c>
      <c r="B11" s="138"/>
      <c r="C11" s="138"/>
      <c r="D11" s="138"/>
      <c r="E11" s="138"/>
      <c r="H11" s="57" t="s">
        <v>84</v>
      </c>
      <c r="I11" s="57" t="s">
        <v>74</v>
      </c>
      <c r="J11" s="57" t="s">
        <v>86</v>
      </c>
      <c r="K11" s="57" t="s">
        <v>87</v>
      </c>
      <c r="L11" s="57" t="s">
        <v>88</v>
      </c>
      <c r="M11" s="57" t="s">
        <v>89</v>
      </c>
      <c r="N11" s="57" t="s">
        <v>102</v>
      </c>
      <c r="O11" s="57" t="s">
        <v>131</v>
      </c>
      <c r="P11" s="57" t="s">
        <v>92</v>
      </c>
    </row>
    <row r="12" spans="1:16" ht="15.75" customHeight="1">
      <c r="A12" s="63" t="s">
        <v>84</v>
      </c>
      <c r="B12" s="63" t="s">
        <v>73</v>
      </c>
      <c r="C12" s="63" t="s">
        <v>74</v>
      </c>
      <c r="D12" s="37" t="s">
        <v>75</v>
      </c>
      <c r="E12" s="63" t="s">
        <v>76</v>
      </c>
      <c r="F12" s="39" t="s">
        <v>77</v>
      </c>
      <c r="G12" s="40" t="s">
        <v>78</v>
      </c>
      <c r="H12" s="57">
        <v>1</v>
      </c>
      <c r="I12" s="57" t="s">
        <v>137</v>
      </c>
      <c r="J12" s="57">
        <v>390</v>
      </c>
      <c r="K12" s="57">
        <v>420</v>
      </c>
      <c r="L12" s="57">
        <v>650</v>
      </c>
      <c r="M12" s="58">
        <f>J12*K12*L12*0.000000001</f>
        <v>0.10647000000000001</v>
      </c>
      <c r="N12" s="58">
        <v>11.3</v>
      </c>
      <c r="O12" s="58">
        <f>N12*F3</f>
        <v>0</v>
      </c>
      <c r="P12" s="58">
        <f>M12*F3</f>
        <v>0</v>
      </c>
    </row>
    <row r="13" spans="1:16" ht="15.75" customHeight="1">
      <c r="A13" s="136">
        <v>1</v>
      </c>
      <c r="B13" s="136"/>
      <c r="C13" s="136" t="s">
        <v>165</v>
      </c>
      <c r="D13" s="73" t="str">
        <f>ИТОГО!$K$6</f>
        <v>0-30 000</v>
      </c>
      <c r="E13" s="46">
        <v>14300</v>
      </c>
      <c r="F13" s="132"/>
      <c r="G13" s="143">
        <f>E13*F13</f>
        <v>0</v>
      </c>
      <c r="H13" s="57">
        <v>2</v>
      </c>
      <c r="I13" s="57" t="s">
        <v>157</v>
      </c>
      <c r="J13" s="57">
        <v>390</v>
      </c>
      <c r="K13" s="57">
        <v>420</v>
      </c>
      <c r="L13" s="57">
        <v>650</v>
      </c>
      <c r="M13" s="58">
        <f>J13*K13*L13*0.000000001</f>
        <v>0.10647000000000001</v>
      </c>
      <c r="N13" s="75">
        <v>10.9</v>
      </c>
      <c r="O13" s="58">
        <f>N13*F13</f>
        <v>0</v>
      </c>
      <c r="P13" s="58">
        <f>M13*F13</f>
        <v>0</v>
      </c>
    </row>
    <row r="14" spans="1:16" ht="15.75" customHeight="1">
      <c r="A14" s="136"/>
      <c r="B14" s="136"/>
      <c r="C14" s="136"/>
      <c r="D14" s="44" t="str">
        <f>ИТОГО!$K$7</f>
        <v>31 000-80 000</v>
      </c>
      <c r="E14" s="54">
        <f>E13*(1-ИТОГО!$L$7)</f>
        <v>13871</v>
      </c>
      <c r="F14" s="132"/>
      <c r="G14" s="132"/>
      <c r="H14" s="72"/>
      <c r="I14" s="72"/>
      <c r="J14" s="72"/>
      <c r="K14" s="72"/>
      <c r="L14" s="72"/>
      <c r="M14" s="72"/>
      <c r="N14" s="79" t="s">
        <v>100</v>
      </c>
      <c r="O14" s="80">
        <f>SUM(O12:O13)</f>
        <v>0</v>
      </c>
      <c r="P14" s="81">
        <f>SUM(P12:P13)</f>
        <v>0</v>
      </c>
    </row>
    <row r="15" spans="1:16" ht="15.75" customHeight="1">
      <c r="A15" s="136"/>
      <c r="B15" s="136"/>
      <c r="C15" s="136"/>
      <c r="D15" s="44" t="str">
        <f>ИТОГО!$K$8</f>
        <v>81 000-150 000</v>
      </c>
      <c r="E15" s="54">
        <f>E13*(1-ИТОГО!$L$8)</f>
        <v>13299</v>
      </c>
      <c r="F15" s="132"/>
      <c r="G15" s="132"/>
      <c r="H15" s="59"/>
      <c r="I15" s="60" t="s">
        <v>101</v>
      </c>
      <c r="J15" s="59"/>
      <c r="K15" s="59"/>
      <c r="L15" s="59"/>
      <c r="M15" s="59"/>
      <c r="N15" s="72"/>
      <c r="O15" s="72"/>
      <c r="P15" s="72"/>
    </row>
    <row r="16" spans="1:16" ht="15.75" customHeight="1">
      <c r="A16" s="136"/>
      <c r="B16" s="136"/>
      <c r="C16" s="136"/>
      <c r="D16" s="44" t="str">
        <f>ИТОГО!$K$9</f>
        <v>151 000-300 000</v>
      </c>
      <c r="E16" s="54">
        <f>E13*(1-ИТОГО!$L$9)</f>
        <v>12870</v>
      </c>
      <c r="F16" s="132"/>
      <c r="G16" s="132"/>
      <c r="H16" s="57" t="s">
        <v>84</v>
      </c>
      <c r="I16" s="57" t="s">
        <v>74</v>
      </c>
      <c r="J16" s="57" t="s">
        <v>86</v>
      </c>
      <c r="K16" s="57" t="s">
        <v>87</v>
      </c>
      <c r="L16" s="57" t="s">
        <v>88</v>
      </c>
      <c r="M16" s="57" t="s">
        <v>102</v>
      </c>
      <c r="N16" s="72"/>
      <c r="O16" s="72"/>
      <c r="P16" s="72"/>
    </row>
    <row r="17" spans="1:16" ht="15.75" customHeight="1">
      <c r="A17" s="136"/>
      <c r="B17" s="136"/>
      <c r="C17" s="136"/>
      <c r="D17" s="44" t="str">
        <f>ИТОГО!$K$10</f>
        <v>301 000-450 000</v>
      </c>
      <c r="E17" s="54">
        <f>E13*(1-ИТОГО!$L$10)</f>
        <v>12441</v>
      </c>
      <c r="F17" s="132"/>
      <c r="G17" s="132"/>
      <c r="H17" s="57">
        <v>1</v>
      </c>
      <c r="I17" s="57" t="s">
        <v>137</v>
      </c>
      <c r="J17" s="57" t="s">
        <v>144</v>
      </c>
      <c r="K17" s="57" t="s">
        <v>145</v>
      </c>
      <c r="L17" s="57" t="s">
        <v>147</v>
      </c>
      <c r="M17" s="58">
        <v>10.53</v>
      </c>
      <c r="N17" s="72"/>
      <c r="O17" s="72"/>
      <c r="P17" s="72"/>
    </row>
    <row r="18" spans="1:16" ht="15.75" customHeight="1">
      <c r="A18" s="136"/>
      <c r="B18" s="136"/>
      <c r="C18" s="136"/>
      <c r="D18" s="44" t="str">
        <f>ИТОГО!$K$11</f>
        <v>451 000-600 000</v>
      </c>
      <c r="E18" s="54">
        <f>E13*(1-ИТОГО!$L$11)</f>
        <v>12155</v>
      </c>
      <c r="F18" s="132"/>
      <c r="G18" s="132"/>
      <c r="H18" s="57">
        <v>2</v>
      </c>
      <c r="I18" s="57" t="s">
        <v>157</v>
      </c>
      <c r="J18" s="57" t="s">
        <v>144</v>
      </c>
      <c r="K18" s="57" t="s">
        <v>145</v>
      </c>
      <c r="L18" s="57" t="s">
        <v>147</v>
      </c>
      <c r="M18" s="58">
        <v>9.9</v>
      </c>
      <c r="N18" s="72"/>
      <c r="O18" s="72"/>
      <c r="P18" s="72"/>
    </row>
    <row r="19" spans="1:16" ht="15.75" customHeight="1">
      <c r="A19" s="136"/>
      <c r="B19" s="136"/>
      <c r="C19" s="136"/>
      <c r="D19" s="44" t="str">
        <f>ИТОГО!$K$12</f>
        <v>601 000 и выше</v>
      </c>
      <c r="E19" s="54">
        <f>E13*(1-ИТОГО!$L$12)</f>
        <v>11869</v>
      </c>
      <c r="F19" s="132"/>
      <c r="G19" s="132"/>
    </row>
  </sheetData>
  <mergeCells count="13">
    <mergeCell ref="G3:G9"/>
    <mergeCell ref="H10:N10"/>
    <mergeCell ref="A11:E11"/>
    <mergeCell ref="A13:A19"/>
    <mergeCell ref="B13:B19"/>
    <mergeCell ref="C13:C19"/>
    <mergeCell ref="F13:F19"/>
    <mergeCell ref="G13:G19"/>
    <mergeCell ref="A1:E1"/>
    <mergeCell ref="A3:A9"/>
    <mergeCell ref="B3:B9"/>
    <mergeCell ref="C3:C9"/>
    <mergeCell ref="F3:F9"/>
  </mergeCells>
  <conditionalFormatting sqref="H3:I8">
    <cfRule type="expression" dxfId="20" priority="2">
      <formula>$H3=cur_label</formula>
    </cfRule>
  </conditionalFormatting>
  <conditionalFormatting sqref="D3:E19">
    <cfRule type="expression" dxfId="19" priority="3">
      <formula>AND($D3&lt;&gt;"",$D3=cur_label)</formula>
    </cfRule>
  </conditionalFormatting>
  <pageMargins left="0.7" right="0.7" top="0.75" bottom="0.75" header="0.511811023622047" footer="0.511811023622047"/>
  <pageSetup paperSize="9" fitToHeight="0" orientation="landscape" horizontalDpi="300" verticalDpi="300"/>
  <drawing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1"/>
  <sheetViews>
    <sheetView zoomScaleNormal="100" workbookViewId="0">
      <pane ySplit="2" topLeftCell="A3" activePane="bottomLeft" state="frozen"/>
      <selection pane="bottomLeft" activeCell="R28" sqref="R28"/>
    </sheetView>
  </sheetViews>
  <sheetFormatPr defaultColWidth="8.5703125" defaultRowHeight="15"/>
  <cols>
    <col min="1" max="1" width="5.85546875" style="1" customWidth="1"/>
    <col min="2" max="5" width="17.42578125" style="1" customWidth="1"/>
    <col min="6" max="6" width="14.28515625" style="1" customWidth="1"/>
    <col min="7" max="7" width="13.42578125" style="1" customWidth="1"/>
    <col min="8" max="8" width="16.7109375" style="1" customWidth="1"/>
    <col min="9" max="9" width="20.5703125" style="1" customWidth="1"/>
    <col min="10" max="10" width="11.140625" style="1" customWidth="1"/>
    <col min="11" max="11" width="13.7109375" style="1" customWidth="1"/>
    <col min="13" max="13" width="19.140625" style="1" customWidth="1"/>
    <col min="15" max="15" width="11" style="1" customWidth="1"/>
    <col min="16" max="16" width="14" style="1" customWidth="1"/>
  </cols>
  <sheetData>
    <row r="1" spans="1:16" ht="15.75" customHeight="1">
      <c r="A1" s="138" t="s">
        <v>166</v>
      </c>
      <c r="B1" s="138"/>
      <c r="C1" s="138"/>
      <c r="D1" s="138"/>
      <c r="E1" s="138"/>
    </row>
    <row r="2" spans="1:16" ht="15.75" customHeight="1">
      <c r="A2" s="63" t="s">
        <v>84</v>
      </c>
      <c r="B2" s="63" t="s">
        <v>73</v>
      </c>
      <c r="C2" s="63" t="s">
        <v>74</v>
      </c>
      <c r="D2" s="37" t="s">
        <v>75</v>
      </c>
      <c r="E2" s="63" t="s">
        <v>161</v>
      </c>
      <c r="F2" s="39" t="s">
        <v>77</v>
      </c>
      <c r="G2" s="40" t="s">
        <v>78</v>
      </c>
      <c r="H2" s="42" t="s">
        <v>78</v>
      </c>
      <c r="I2" s="42" t="s">
        <v>34</v>
      </c>
      <c r="J2" s="39" t="s">
        <v>79</v>
      </c>
      <c r="K2" s="40" t="s">
        <v>80</v>
      </c>
      <c r="L2" s="43" t="s">
        <v>34</v>
      </c>
      <c r="M2" s="40" t="s">
        <v>39</v>
      </c>
    </row>
    <row r="3" spans="1:16" ht="18.75" customHeight="1">
      <c r="A3" s="136">
        <v>1</v>
      </c>
      <c r="B3" s="136"/>
      <c r="C3" s="137" t="s">
        <v>167</v>
      </c>
      <c r="D3" s="73" t="str">
        <f>ИТОГО!$K$6</f>
        <v>0-30 000</v>
      </c>
      <c r="E3" s="46">
        <v>5004</v>
      </c>
      <c r="F3" s="132"/>
      <c r="G3" s="133">
        <f>E3*F3</f>
        <v>0</v>
      </c>
      <c r="H3" s="41" t="str">
        <f>ИТОГО!$K$7</f>
        <v>31 000-80 000</v>
      </c>
      <c r="I3" s="49">
        <f>ИТОГО!$L$7</f>
        <v>0.03</v>
      </c>
      <c r="J3" s="50">
        <f>F3+F10+F17+F24+F31+F38+F48+F55</f>
        <v>0</v>
      </c>
      <c r="K3" s="51">
        <f>G3+G10+G17+G24+G31+G38+G48+G55</f>
        <v>0</v>
      </c>
      <c r="L3" s="52">
        <f>cur_rate</f>
        <v>0</v>
      </c>
      <c r="M3" s="51">
        <f>K3-K3*L3</f>
        <v>0</v>
      </c>
    </row>
    <row r="4" spans="1:16" ht="15.75" customHeight="1">
      <c r="A4" s="136"/>
      <c r="B4" s="136"/>
      <c r="C4" s="136"/>
      <c r="D4" s="44" t="str">
        <f>ИТОГО!$K$7</f>
        <v>31 000-80 000</v>
      </c>
      <c r="E4" s="54">
        <f>E3*(1-ИТОГО!$L$7)</f>
        <v>4853.88</v>
      </c>
      <c r="F4" s="132"/>
      <c r="G4" s="132"/>
      <c r="H4" s="41" t="str">
        <f>ИТОГО!$K$8</f>
        <v>81 000-150 000</v>
      </c>
      <c r="I4" s="49">
        <f>ИТОГО!$L$8</f>
        <v>7.0000000000000007E-2</v>
      </c>
    </row>
    <row r="5" spans="1:16" ht="15.75" customHeight="1">
      <c r="A5" s="136"/>
      <c r="B5" s="136"/>
      <c r="C5" s="136"/>
      <c r="D5" s="44" t="str">
        <f>ИТОГО!$K$8</f>
        <v>81 000-150 000</v>
      </c>
      <c r="E5" s="54">
        <f>E3*(1-ИТОГО!$L$8)</f>
        <v>4653.7199999999993</v>
      </c>
      <c r="F5" s="132"/>
      <c r="G5" s="132"/>
      <c r="H5" s="41" t="str">
        <f>ИТОГО!$K$9</f>
        <v>151 000-300 000</v>
      </c>
      <c r="I5" s="49">
        <f>ИТОГО!$L$9</f>
        <v>0.1</v>
      </c>
    </row>
    <row r="6" spans="1:16" ht="15.75" customHeight="1">
      <c r="A6" s="136"/>
      <c r="B6" s="136"/>
      <c r="C6" s="136"/>
      <c r="D6" s="44" t="str">
        <f>ИТОГО!$K$9</f>
        <v>151 000-300 000</v>
      </c>
      <c r="E6" s="54">
        <f>E3*(1-ИТОГО!$L$9)</f>
        <v>4503.6000000000004</v>
      </c>
      <c r="F6" s="132"/>
      <c r="G6" s="132"/>
      <c r="H6" s="41" t="str">
        <f>ИТОГО!$K$10</f>
        <v>301 000-450 000</v>
      </c>
      <c r="I6" s="49">
        <f>ИТОГО!$L$10</f>
        <v>0.13</v>
      </c>
    </row>
    <row r="7" spans="1:16" ht="15.75" customHeight="1">
      <c r="A7" s="136"/>
      <c r="B7" s="136"/>
      <c r="C7" s="136"/>
      <c r="D7" s="44" t="str">
        <f>ИТОГО!$K$10</f>
        <v>301 000-450 000</v>
      </c>
      <c r="E7" s="54">
        <f>E3*(1-ИТОГО!$L$10)</f>
        <v>4353.4799999999996</v>
      </c>
      <c r="F7" s="132"/>
      <c r="G7" s="132"/>
      <c r="H7" s="41" t="str">
        <f>ИТОГО!$K$11</f>
        <v>451 000-600 000</v>
      </c>
      <c r="I7" s="49">
        <f>ИТОГО!$L$11</f>
        <v>0.15</v>
      </c>
    </row>
    <row r="8" spans="1:16" ht="15.75" customHeight="1">
      <c r="A8" s="136"/>
      <c r="B8" s="136"/>
      <c r="C8" s="136"/>
      <c r="D8" s="44" t="str">
        <f>ИТОГО!$K$11</f>
        <v>451 000-600 000</v>
      </c>
      <c r="E8" s="54">
        <f>E3*(1-ИТОГО!$L$11)</f>
        <v>4253.3999999999996</v>
      </c>
      <c r="F8" s="132"/>
      <c r="G8" s="132"/>
      <c r="H8" s="55" t="str">
        <f>ИТОГО!$K$12</f>
        <v>601 000 и выше</v>
      </c>
      <c r="I8" s="56">
        <f>ИТОГО!$L$12</f>
        <v>0.17</v>
      </c>
    </row>
    <row r="9" spans="1:16" ht="15.75" customHeight="1">
      <c r="A9" s="136"/>
      <c r="B9" s="136"/>
      <c r="C9" s="136"/>
      <c r="D9" s="44" t="str">
        <f>ИТОГО!$K$12</f>
        <v>601 000 и выше</v>
      </c>
      <c r="E9" s="54">
        <f>E3*(1-ИТОГО!$L$12)</f>
        <v>4153.32</v>
      </c>
      <c r="F9" s="132"/>
      <c r="G9" s="132"/>
      <c r="H9" s="144" t="s">
        <v>83</v>
      </c>
      <c r="I9" s="144"/>
      <c r="J9" s="144"/>
      <c r="K9" s="144"/>
      <c r="L9" s="144"/>
      <c r="M9" s="144"/>
      <c r="N9" s="144"/>
    </row>
    <row r="10" spans="1:16" ht="15.75" customHeight="1">
      <c r="A10" s="136">
        <v>2</v>
      </c>
      <c r="B10" s="136"/>
      <c r="C10" s="137" t="s">
        <v>168</v>
      </c>
      <c r="D10" s="73" t="str">
        <f>ИТОГО!$K$6</f>
        <v>0-30 000</v>
      </c>
      <c r="E10" s="46">
        <v>5414</v>
      </c>
      <c r="F10" s="132"/>
      <c r="G10" s="133">
        <f>E10*F10</f>
        <v>0</v>
      </c>
      <c r="H10" s="84" t="s">
        <v>84</v>
      </c>
      <c r="I10" s="84" t="s">
        <v>74</v>
      </c>
      <c r="J10" s="84" t="s">
        <v>86</v>
      </c>
      <c r="K10" s="84" t="s">
        <v>87</v>
      </c>
      <c r="L10" s="84" t="s">
        <v>88</v>
      </c>
      <c r="M10" s="84" t="s">
        <v>89</v>
      </c>
      <c r="N10" s="84" t="s">
        <v>102</v>
      </c>
      <c r="O10" s="84" t="s">
        <v>91</v>
      </c>
      <c r="P10" s="84" t="s">
        <v>169</v>
      </c>
    </row>
    <row r="11" spans="1:16" ht="15.75" customHeight="1">
      <c r="A11" s="136"/>
      <c r="B11" s="136"/>
      <c r="C11" s="136"/>
      <c r="D11" s="44" t="str">
        <f>ИТОГО!$K$7</f>
        <v>31 000-80 000</v>
      </c>
      <c r="E11" s="54">
        <f>E10*(1-ИТОГО!$L$7)</f>
        <v>5251.58</v>
      </c>
      <c r="F11" s="132"/>
      <c r="G11" s="132"/>
      <c r="H11" s="84">
        <v>1</v>
      </c>
      <c r="I11" s="84" t="s">
        <v>170</v>
      </c>
      <c r="J11" s="84">
        <v>330</v>
      </c>
      <c r="K11" s="84">
        <v>330</v>
      </c>
      <c r="L11" s="84">
        <v>280</v>
      </c>
      <c r="M11" s="85">
        <f>Таблица3[[#This Row],[Длина]]*Таблица3[[#This Row],[Ширина]]*Таблица3[[#This Row],[Высота]]*0.000000001</f>
        <v>3.0492000000000002E-2</v>
      </c>
      <c r="N11" s="85">
        <v>1.9</v>
      </c>
      <c r="O11" s="85">
        <f>Таблица3[[#This Row],[Вес]]*F3</f>
        <v>0</v>
      </c>
      <c r="P11" s="85">
        <f>Таблица3[[#This Row],[Объем]]*F3</f>
        <v>0</v>
      </c>
    </row>
    <row r="12" spans="1:16" ht="15.75" customHeight="1">
      <c r="A12" s="136"/>
      <c r="B12" s="136"/>
      <c r="C12" s="136"/>
      <c r="D12" s="44" t="str">
        <f>ИТОГО!$K$8</f>
        <v>81 000-150 000</v>
      </c>
      <c r="E12" s="54">
        <f>E10*(1-ИТОГО!$L$8)</f>
        <v>5035.0199999999995</v>
      </c>
      <c r="F12" s="132"/>
      <c r="G12" s="132"/>
      <c r="H12" s="84">
        <v>2</v>
      </c>
      <c r="I12" s="84" t="s">
        <v>167</v>
      </c>
      <c r="J12" s="84">
        <v>330</v>
      </c>
      <c r="K12" s="84">
        <v>330</v>
      </c>
      <c r="L12" s="84">
        <v>280</v>
      </c>
      <c r="M12" s="85">
        <f>Таблица3[[#This Row],[Длина]]*Таблица3[[#This Row],[Ширина]]*Таблица3[[#This Row],[Высота]]*0.000000001</f>
        <v>3.0492000000000002E-2</v>
      </c>
      <c r="N12" s="85">
        <v>2</v>
      </c>
      <c r="O12" s="85">
        <f>Таблица3[[#This Row],[Вес]]*F3</f>
        <v>0</v>
      </c>
      <c r="P12" s="85">
        <f>Таблица3[[#This Row],[Объем]]*F3</f>
        <v>0</v>
      </c>
    </row>
    <row r="13" spans="1:16" ht="15.75" customHeight="1">
      <c r="A13" s="136"/>
      <c r="B13" s="136"/>
      <c r="C13" s="136"/>
      <c r="D13" s="44" t="str">
        <f>ИТОГО!$K$9</f>
        <v>151 000-300 000</v>
      </c>
      <c r="E13" s="54">
        <f>E10*(1-ИТОГО!$L$9)</f>
        <v>4872.6000000000004</v>
      </c>
      <c r="F13" s="132"/>
      <c r="G13" s="132"/>
      <c r="H13" s="84">
        <v>3</v>
      </c>
      <c r="I13" s="84" t="s">
        <v>168</v>
      </c>
      <c r="J13" s="84">
        <v>350</v>
      </c>
      <c r="K13" s="84">
        <v>270</v>
      </c>
      <c r="L13" s="84">
        <v>380</v>
      </c>
      <c r="M13" s="85">
        <f>Таблица3[[#This Row],[Длина]]*Таблица3[[#This Row],[Ширина]]*Таблица3[[#This Row],[Высота]]*0.000000001</f>
        <v>3.5910000000000004E-2</v>
      </c>
      <c r="N13" s="85">
        <v>2.1</v>
      </c>
      <c r="O13" s="85">
        <f>Таблица3[[#This Row],[Вес]]*F10</f>
        <v>0</v>
      </c>
      <c r="P13" s="85">
        <f>Таблица3[[#This Row],[Объем]]*F10</f>
        <v>0</v>
      </c>
    </row>
    <row r="14" spans="1:16" ht="15.75" customHeight="1">
      <c r="A14" s="136"/>
      <c r="B14" s="136"/>
      <c r="C14" s="136"/>
      <c r="D14" s="44" t="str">
        <f>ИТОГО!$K$10</f>
        <v>301 000-450 000</v>
      </c>
      <c r="E14" s="54">
        <f>E10*(1-ИТОГО!$L$10)</f>
        <v>4710.18</v>
      </c>
      <c r="F14" s="132"/>
      <c r="G14" s="132"/>
      <c r="H14" s="84">
        <v>4</v>
      </c>
      <c r="I14" s="84" t="s">
        <v>171</v>
      </c>
      <c r="J14" s="84">
        <v>350</v>
      </c>
      <c r="K14" s="84">
        <v>270</v>
      </c>
      <c r="L14" s="84">
        <v>380</v>
      </c>
      <c r="M14" s="85">
        <f>Таблица3[[#This Row],[Длина]]*Таблица3[[#This Row],[Ширина]]*Таблица3[[#This Row],[Высота]]*0.000000001</f>
        <v>3.5910000000000004E-2</v>
      </c>
      <c r="N14" s="85">
        <v>2.5</v>
      </c>
      <c r="O14" s="85">
        <f>Таблица3[[#This Row],[Вес]]*F17</f>
        <v>0</v>
      </c>
      <c r="P14" s="85">
        <f>Таблица3[[#This Row],[Объем]]*F17</f>
        <v>0</v>
      </c>
    </row>
    <row r="15" spans="1:16" ht="15.75" customHeight="1">
      <c r="A15" s="136"/>
      <c r="B15" s="136"/>
      <c r="C15" s="136"/>
      <c r="D15" s="44" t="str">
        <f>ИТОГО!$K$11</f>
        <v>451 000-600 000</v>
      </c>
      <c r="E15" s="54">
        <f>E10*(1-ИТОГО!$L$11)</f>
        <v>4601.8999999999996</v>
      </c>
      <c r="F15" s="132"/>
      <c r="G15" s="132"/>
      <c r="H15" s="84">
        <v>5</v>
      </c>
      <c r="I15" s="84" t="s">
        <v>172</v>
      </c>
      <c r="J15" s="84">
        <v>300</v>
      </c>
      <c r="K15" s="84">
        <v>260</v>
      </c>
      <c r="L15" s="84">
        <v>470</v>
      </c>
      <c r="M15" s="85">
        <f>Таблица3[[#This Row],[Длина]]*Таблица3[[#This Row],[Ширина]]*Таблица3[[#This Row],[Высота]]*0.000000001</f>
        <v>3.6660000000000005E-2</v>
      </c>
      <c r="N15" s="85">
        <v>2.9</v>
      </c>
      <c r="O15" s="85">
        <f>Таблица3[[#This Row],[Вес]]*F24</f>
        <v>0</v>
      </c>
      <c r="P15" s="85">
        <f>Таблица3[[#This Row],[Объем]]*F24</f>
        <v>0</v>
      </c>
    </row>
    <row r="16" spans="1:16" ht="15.75" customHeight="1">
      <c r="A16" s="136"/>
      <c r="B16" s="136"/>
      <c r="C16" s="136"/>
      <c r="D16" s="44" t="str">
        <f>ИТОГО!$K$12</f>
        <v>601 000 и выше</v>
      </c>
      <c r="E16" s="54">
        <f>E10*(1-ИТОГО!$L$12)</f>
        <v>4493.62</v>
      </c>
      <c r="F16" s="132"/>
      <c r="G16" s="132"/>
      <c r="H16" s="84">
        <v>6</v>
      </c>
      <c r="I16" s="84" t="s">
        <v>173</v>
      </c>
      <c r="J16" s="84">
        <v>370</v>
      </c>
      <c r="K16" s="84">
        <v>330</v>
      </c>
      <c r="L16" s="84">
        <v>560</v>
      </c>
      <c r="M16" s="85">
        <f>Таблица3[[#This Row],[Длина]]*Таблица3[[#This Row],[Ширина]]*Таблица3[[#This Row],[Высота]]*0.000000001</f>
        <v>6.8376000000000006E-2</v>
      </c>
      <c r="N16" s="85">
        <v>3.6</v>
      </c>
      <c r="O16" s="85">
        <f>Таблица3[[#This Row],[Вес]]*F31</f>
        <v>0</v>
      </c>
      <c r="P16" s="85">
        <f>Таблица3[[#This Row],[Объем]]*F31</f>
        <v>0</v>
      </c>
    </row>
    <row r="17" spans="1:16" ht="15.75" customHeight="1">
      <c r="A17" s="136">
        <v>3</v>
      </c>
      <c r="B17" s="136"/>
      <c r="C17" s="137" t="s">
        <v>171</v>
      </c>
      <c r="D17" s="73" t="str">
        <f>ИТОГО!$K$6</f>
        <v>0-30 000</v>
      </c>
      <c r="E17" s="46">
        <v>5550</v>
      </c>
      <c r="F17" s="132"/>
      <c r="G17" s="133">
        <f>E17*F17</f>
        <v>0</v>
      </c>
      <c r="H17" s="84">
        <v>7</v>
      </c>
      <c r="I17" s="84" t="s">
        <v>174</v>
      </c>
      <c r="J17" s="84">
        <v>420</v>
      </c>
      <c r="K17" s="84">
        <v>490</v>
      </c>
      <c r="L17" s="84">
        <v>500</v>
      </c>
      <c r="M17" s="85">
        <f>Таблица3[[#This Row],[Длина]]*Таблица3[[#This Row],[Ширина]]*Таблица3[[#This Row],[Высота]]*0.000000001</f>
        <v>0.10290000000000001</v>
      </c>
      <c r="N17" s="85">
        <v>4.8</v>
      </c>
      <c r="O17" s="85">
        <f>Таблица3[[#This Row],[Вес]]*F38</f>
        <v>0</v>
      </c>
      <c r="P17" s="85">
        <f>Таблица3[[#This Row],[Объем]]*F38</f>
        <v>0</v>
      </c>
    </row>
    <row r="18" spans="1:16" ht="15.75" customHeight="1">
      <c r="A18" s="136"/>
      <c r="B18" s="136"/>
      <c r="C18" s="136"/>
      <c r="D18" s="44" t="str">
        <f>ИТОГО!$K$7</f>
        <v>31 000-80 000</v>
      </c>
      <c r="E18" s="54">
        <f>E17*(1-ИТОГО!$L$7)</f>
        <v>5383.5</v>
      </c>
      <c r="F18" s="132"/>
      <c r="G18" s="132"/>
      <c r="H18" s="84">
        <v>8</v>
      </c>
      <c r="I18" s="84" t="s">
        <v>175</v>
      </c>
      <c r="J18" s="84">
        <v>370</v>
      </c>
      <c r="K18" s="84">
        <v>330</v>
      </c>
      <c r="L18" s="84">
        <v>560</v>
      </c>
      <c r="M18" s="85">
        <f>Таблица3[[#This Row],[Длина]]*Таблица3[[#This Row],[Ширина]]*Таблица3[[#This Row],[Высота]]*0.000000001</f>
        <v>6.8376000000000006E-2</v>
      </c>
      <c r="N18" s="85">
        <v>3.8</v>
      </c>
      <c r="O18" s="85">
        <f>Таблица3[[#This Row],[Вес]]*F48</f>
        <v>0</v>
      </c>
      <c r="P18" s="85">
        <f>Таблица3[[#This Row],[Объем]]*F48</f>
        <v>0</v>
      </c>
    </row>
    <row r="19" spans="1:16" ht="15.75" customHeight="1">
      <c r="A19" s="136"/>
      <c r="B19" s="136"/>
      <c r="C19" s="136"/>
      <c r="D19" s="44" t="str">
        <f>ИТОГО!$K$8</f>
        <v>81 000-150 000</v>
      </c>
      <c r="E19" s="54">
        <f>E17*(1-ИТОГО!$L$8)</f>
        <v>5161.5</v>
      </c>
      <c r="F19" s="132"/>
      <c r="G19" s="132"/>
      <c r="H19" s="84">
        <v>9</v>
      </c>
      <c r="I19" s="84" t="s">
        <v>176</v>
      </c>
      <c r="J19" s="84">
        <v>370</v>
      </c>
      <c r="K19" s="84">
        <v>320</v>
      </c>
      <c r="L19" s="84">
        <v>680</v>
      </c>
      <c r="M19" s="85">
        <f>Таблица3[[#This Row],[Длина]]*Таблица3[[#This Row],[Ширина]]*Таблица3[[#This Row],[Высота]]*0.000000001</f>
        <v>8.0512E-2</v>
      </c>
      <c r="N19" s="86">
        <v>4.5999999999999996</v>
      </c>
      <c r="O19" s="85">
        <f>Таблица3[[#This Row],[Вес]]*F55</f>
        <v>0</v>
      </c>
      <c r="P19" s="85">
        <f>Таблица3[[#This Row],[Объем]]*F55</f>
        <v>0</v>
      </c>
    </row>
    <row r="20" spans="1:16" ht="15.75" customHeight="1">
      <c r="A20" s="136"/>
      <c r="B20" s="136"/>
      <c r="C20" s="136"/>
      <c r="D20" s="44" t="str">
        <f>ИТОГО!$K$9</f>
        <v>151 000-300 000</v>
      </c>
      <c r="E20" s="54">
        <f>E17*(1-ИТОГО!$L$9)</f>
        <v>4995</v>
      </c>
      <c r="F20" s="132"/>
      <c r="G20" s="132"/>
      <c r="H20" s="87"/>
      <c r="I20" s="87"/>
      <c r="J20" s="87"/>
      <c r="K20" s="87"/>
      <c r="L20" s="87"/>
      <c r="M20" s="87"/>
      <c r="N20" s="88" t="s">
        <v>100</v>
      </c>
      <c r="O20" s="89">
        <f>SUM(O11:O19)</f>
        <v>0</v>
      </c>
      <c r="P20" s="89">
        <f>SUM(P11:P19)</f>
        <v>0</v>
      </c>
    </row>
    <row r="21" spans="1:16" ht="15.75" customHeight="1">
      <c r="A21" s="136"/>
      <c r="B21" s="136"/>
      <c r="C21" s="136"/>
      <c r="D21" s="44" t="str">
        <f>ИТОГО!$K$10</f>
        <v>301 000-450 000</v>
      </c>
      <c r="E21" s="54">
        <f>E17*(1-ИТОГО!$L$10)</f>
        <v>4828.5</v>
      </c>
      <c r="F21" s="132"/>
      <c r="G21" s="132"/>
      <c r="H21" s="87"/>
      <c r="I21" s="87"/>
      <c r="J21" s="87"/>
      <c r="K21" s="87"/>
      <c r="L21" s="87"/>
      <c r="M21" s="87"/>
      <c r="N21" s="87"/>
    </row>
    <row r="22" spans="1:16" ht="18.75" customHeight="1">
      <c r="A22" s="136"/>
      <c r="B22" s="136"/>
      <c r="C22" s="136"/>
      <c r="D22" s="44" t="str">
        <f>ИТОГО!$K$11</f>
        <v>451 000-600 000</v>
      </c>
      <c r="E22" s="54">
        <f>E17*(1-ИТОГО!$L$11)</f>
        <v>4717.5</v>
      </c>
      <c r="F22" s="132"/>
      <c r="G22" s="132"/>
      <c r="H22" s="87"/>
      <c r="I22" s="90" t="s">
        <v>101</v>
      </c>
      <c r="J22" s="87"/>
      <c r="K22" s="87"/>
      <c r="L22" s="87"/>
      <c r="M22" s="87"/>
      <c r="N22" s="87"/>
    </row>
    <row r="23" spans="1:16" ht="15.75" customHeight="1">
      <c r="A23" s="136"/>
      <c r="B23" s="136"/>
      <c r="C23" s="136"/>
      <c r="D23" s="44" t="str">
        <f>ИТОГО!$K$12</f>
        <v>601 000 и выше</v>
      </c>
      <c r="E23" s="54">
        <f>E17*(1-ИТОГО!$L$12)</f>
        <v>4606.5</v>
      </c>
      <c r="F23" s="132"/>
      <c r="G23" s="132"/>
      <c r="H23" s="84" t="s">
        <v>84</v>
      </c>
      <c r="I23" s="84" t="s">
        <v>74</v>
      </c>
      <c r="J23" s="84" t="s">
        <v>86</v>
      </c>
      <c r="K23" s="84" t="s">
        <v>87</v>
      </c>
      <c r="L23" s="84" t="s">
        <v>88</v>
      </c>
      <c r="M23" s="84" t="s">
        <v>102</v>
      </c>
      <c r="N23" s="87"/>
    </row>
    <row r="24" spans="1:16" ht="15.75" customHeight="1">
      <c r="A24" s="136">
        <v>4</v>
      </c>
      <c r="B24" s="136"/>
      <c r="C24" s="137" t="s">
        <v>172</v>
      </c>
      <c r="D24" s="73" t="str">
        <f>ИТОГО!$K$6</f>
        <v>0-30 000</v>
      </c>
      <c r="E24" s="46">
        <v>5823</v>
      </c>
      <c r="F24" s="132"/>
      <c r="G24" s="133">
        <f>E24*F24</f>
        <v>0</v>
      </c>
      <c r="H24" s="84">
        <v>1</v>
      </c>
      <c r="I24" s="84" t="s">
        <v>170</v>
      </c>
      <c r="J24" s="84" t="s">
        <v>177</v>
      </c>
      <c r="K24" s="84" t="s">
        <v>177</v>
      </c>
      <c r="L24" s="84" t="s">
        <v>178</v>
      </c>
      <c r="M24" s="85">
        <v>1.3</v>
      </c>
      <c r="N24" s="87"/>
    </row>
    <row r="25" spans="1:16" ht="15.75" customHeight="1">
      <c r="A25" s="136"/>
      <c r="B25" s="136"/>
      <c r="C25" s="136"/>
      <c r="D25" s="44" t="str">
        <f>ИТОГО!$K$7</f>
        <v>31 000-80 000</v>
      </c>
      <c r="E25" s="54">
        <f>E24*(1-ИТОГО!$L$7)</f>
        <v>5648.3099999999995</v>
      </c>
      <c r="F25" s="132"/>
      <c r="G25" s="132"/>
      <c r="H25" s="84">
        <v>2</v>
      </c>
      <c r="I25" s="84" t="s">
        <v>167</v>
      </c>
      <c r="J25" s="84" t="s">
        <v>177</v>
      </c>
      <c r="K25" s="84" t="s">
        <v>177</v>
      </c>
      <c r="L25" s="84" t="s">
        <v>179</v>
      </c>
      <c r="M25" s="85">
        <v>1.4</v>
      </c>
      <c r="N25" s="87"/>
    </row>
    <row r="26" spans="1:16" ht="15.75" customHeight="1">
      <c r="A26" s="136"/>
      <c r="B26" s="136"/>
      <c r="C26" s="136"/>
      <c r="D26" s="44" t="str">
        <f>ИТОГО!$K$8</f>
        <v>81 000-150 000</v>
      </c>
      <c r="E26" s="54">
        <f>E24*(1-ИТОГО!$L$8)</f>
        <v>5415.3899999999994</v>
      </c>
      <c r="F26" s="132"/>
      <c r="G26" s="132"/>
      <c r="H26" s="84">
        <v>3</v>
      </c>
      <c r="I26" s="84" t="s">
        <v>168</v>
      </c>
      <c r="J26" s="84" t="s">
        <v>177</v>
      </c>
      <c r="K26" s="84" t="s">
        <v>177</v>
      </c>
      <c r="L26" s="84" t="s">
        <v>180</v>
      </c>
      <c r="M26" s="85">
        <v>1.5</v>
      </c>
      <c r="N26" s="87"/>
    </row>
    <row r="27" spans="1:16" ht="15.75" customHeight="1">
      <c r="A27" s="136"/>
      <c r="B27" s="136"/>
      <c r="C27" s="136"/>
      <c r="D27" s="44" t="str">
        <f>ИТОГО!$K$9</f>
        <v>151 000-300 000</v>
      </c>
      <c r="E27" s="54">
        <f>E24*(1-ИТОГО!$L$9)</f>
        <v>5240.7</v>
      </c>
      <c r="F27" s="132"/>
      <c r="G27" s="132"/>
      <c r="H27" s="84">
        <v>4</v>
      </c>
      <c r="I27" s="84" t="s">
        <v>171</v>
      </c>
      <c r="J27" s="84" t="s">
        <v>104</v>
      </c>
      <c r="K27" s="84" t="s">
        <v>177</v>
      </c>
      <c r="L27" s="84" t="s">
        <v>181</v>
      </c>
      <c r="M27" s="85">
        <v>2</v>
      </c>
      <c r="N27" s="87"/>
    </row>
    <row r="28" spans="1:16" ht="15.75" customHeight="1">
      <c r="A28" s="136"/>
      <c r="B28" s="136"/>
      <c r="C28" s="136"/>
      <c r="D28" s="44" t="str">
        <f>ИТОГО!$K$10</f>
        <v>301 000-450 000</v>
      </c>
      <c r="E28" s="54">
        <f>E24*(1-ИТОГО!$L$10)</f>
        <v>5066.01</v>
      </c>
      <c r="F28" s="132"/>
      <c r="G28" s="132"/>
      <c r="H28" s="84">
        <v>5</v>
      </c>
      <c r="I28" s="84" t="s">
        <v>172</v>
      </c>
      <c r="J28" s="84" t="s">
        <v>104</v>
      </c>
      <c r="K28" s="84" t="s">
        <v>177</v>
      </c>
      <c r="L28" s="84" t="s">
        <v>144</v>
      </c>
      <c r="M28" s="85">
        <v>2.4</v>
      </c>
      <c r="N28" s="87"/>
    </row>
    <row r="29" spans="1:16" ht="15.75" customHeight="1">
      <c r="A29" s="136"/>
      <c r="B29" s="136"/>
      <c r="C29" s="136"/>
      <c r="D29" s="44" t="str">
        <f>ИТОГО!$K$11</f>
        <v>451 000-600 000</v>
      </c>
      <c r="E29" s="54">
        <f>E24*(1-ИТОГО!$L$11)</f>
        <v>4949.55</v>
      </c>
      <c r="F29" s="132"/>
      <c r="G29" s="132"/>
      <c r="H29" s="84">
        <v>6</v>
      </c>
      <c r="I29" s="84" t="s">
        <v>173</v>
      </c>
      <c r="J29" s="84" t="s">
        <v>143</v>
      </c>
      <c r="K29" s="84" t="s">
        <v>182</v>
      </c>
      <c r="L29" s="84" t="s">
        <v>183</v>
      </c>
      <c r="M29" s="85">
        <v>2.9</v>
      </c>
      <c r="N29" s="87"/>
    </row>
    <row r="30" spans="1:16" ht="15.75" customHeight="1">
      <c r="A30" s="136"/>
      <c r="B30" s="136"/>
      <c r="C30" s="136"/>
      <c r="D30" s="44" t="str">
        <f>ИТОГО!$K$12</f>
        <v>601 000 и выше</v>
      </c>
      <c r="E30" s="54">
        <f>E24*(1-ИТОГО!$L$12)</f>
        <v>4833.09</v>
      </c>
      <c r="F30" s="132"/>
      <c r="G30" s="132"/>
      <c r="H30" s="88">
        <v>7</v>
      </c>
      <c r="I30" s="88" t="s">
        <v>174</v>
      </c>
      <c r="J30" s="88" t="s">
        <v>184</v>
      </c>
      <c r="K30" s="88" t="s">
        <v>185</v>
      </c>
      <c r="L30" s="88" t="s">
        <v>186</v>
      </c>
      <c r="M30" s="91">
        <v>4</v>
      </c>
      <c r="N30" s="87"/>
    </row>
    <row r="31" spans="1:16" ht="15.75" customHeight="1">
      <c r="A31" s="136">
        <v>5</v>
      </c>
      <c r="B31" s="136"/>
      <c r="C31" s="137" t="s">
        <v>173</v>
      </c>
      <c r="D31" s="73" t="str">
        <f>ИТОГО!$K$6</f>
        <v>0-30 000</v>
      </c>
      <c r="E31" s="46">
        <v>7325</v>
      </c>
      <c r="F31" s="132"/>
      <c r="G31" s="133">
        <f>E31*F31</f>
        <v>0</v>
      </c>
      <c r="H31" s="88">
        <v>8</v>
      </c>
      <c r="I31" s="88" t="s">
        <v>175</v>
      </c>
      <c r="J31" s="88" t="s">
        <v>114</v>
      </c>
      <c r="K31" s="88" t="s">
        <v>139</v>
      </c>
      <c r="L31" s="88" t="s">
        <v>186</v>
      </c>
      <c r="M31" s="91">
        <v>3</v>
      </c>
      <c r="N31" s="87"/>
    </row>
    <row r="32" spans="1:16" ht="15.75" customHeight="1">
      <c r="A32" s="136"/>
      <c r="B32" s="136"/>
      <c r="C32" s="136"/>
      <c r="D32" s="44" t="str">
        <f>ИТОГО!$K$7</f>
        <v>31 000-80 000</v>
      </c>
      <c r="E32" s="54">
        <f>E31*(1-ИТОГО!$L$7)</f>
        <v>7105.25</v>
      </c>
      <c r="F32" s="132"/>
      <c r="G32" s="132"/>
      <c r="H32" s="88">
        <v>9</v>
      </c>
      <c r="I32" s="88" t="s">
        <v>176</v>
      </c>
      <c r="J32" s="88" t="s">
        <v>114</v>
      </c>
      <c r="K32" s="88" t="s">
        <v>139</v>
      </c>
      <c r="L32" s="88" t="s">
        <v>187</v>
      </c>
      <c r="M32" s="91">
        <v>3.8</v>
      </c>
      <c r="N32" s="87"/>
    </row>
    <row r="33" spans="1:7" ht="15.75" customHeight="1">
      <c r="A33" s="136"/>
      <c r="B33" s="136"/>
      <c r="C33" s="136"/>
      <c r="D33" s="44" t="str">
        <f>ИТОГО!$K$8</f>
        <v>81 000-150 000</v>
      </c>
      <c r="E33" s="54">
        <f>E31*(1-ИТОГО!$L$8)</f>
        <v>6812.2499999999991</v>
      </c>
      <c r="F33" s="132"/>
      <c r="G33" s="132"/>
    </row>
    <row r="34" spans="1:7" ht="15.75" customHeight="1">
      <c r="A34" s="136"/>
      <c r="B34" s="136"/>
      <c r="C34" s="136"/>
      <c r="D34" s="44" t="str">
        <f>ИТОГО!$K$9</f>
        <v>151 000-300 000</v>
      </c>
      <c r="E34" s="54">
        <f>E31*(1-ИТОГО!$L$9)</f>
        <v>6592.5</v>
      </c>
      <c r="F34" s="132"/>
      <c r="G34" s="132"/>
    </row>
    <row r="35" spans="1:7" ht="15.75" customHeight="1">
      <c r="A35" s="136"/>
      <c r="B35" s="136"/>
      <c r="C35" s="136"/>
      <c r="D35" s="44" t="str">
        <f>ИТОГО!$K$10</f>
        <v>301 000-450 000</v>
      </c>
      <c r="E35" s="54">
        <f>E31*(1-ИТОГО!$L$10)</f>
        <v>6372.75</v>
      </c>
      <c r="F35" s="132"/>
      <c r="G35" s="132"/>
    </row>
    <row r="36" spans="1:7" ht="15.75" customHeight="1">
      <c r="A36" s="136"/>
      <c r="B36" s="136"/>
      <c r="C36" s="136"/>
      <c r="D36" s="44" t="str">
        <f>ИТОГО!$K$11</f>
        <v>451 000-600 000</v>
      </c>
      <c r="E36" s="54">
        <f>E31*(1-ИТОГО!$L$11)</f>
        <v>6226.25</v>
      </c>
      <c r="F36" s="132"/>
      <c r="G36" s="132"/>
    </row>
    <row r="37" spans="1:7" ht="15.75" customHeight="1">
      <c r="A37" s="136"/>
      <c r="B37" s="136"/>
      <c r="C37" s="136"/>
      <c r="D37" s="44" t="str">
        <f>ИТОГО!$K$12</f>
        <v>601 000 и выше</v>
      </c>
      <c r="E37" s="54">
        <f>E31*(1-ИТОГО!$L$12)</f>
        <v>6079.75</v>
      </c>
      <c r="F37" s="132"/>
      <c r="G37" s="132"/>
    </row>
    <row r="38" spans="1:7" ht="15.75" customHeight="1">
      <c r="A38" s="136">
        <v>6</v>
      </c>
      <c r="B38" s="136"/>
      <c r="C38" s="137" t="s">
        <v>174</v>
      </c>
      <c r="D38" s="73" t="str">
        <f>ИТОГО!$K$6</f>
        <v>0-30 000</v>
      </c>
      <c r="E38" s="46">
        <v>9509</v>
      </c>
      <c r="F38" s="132"/>
      <c r="G38" s="133">
        <f>E38*F38</f>
        <v>0</v>
      </c>
    </row>
    <row r="39" spans="1:7" ht="15.75" customHeight="1">
      <c r="A39" s="136"/>
      <c r="B39" s="136"/>
      <c r="C39" s="136"/>
      <c r="D39" s="44" t="str">
        <f>ИТОГО!$K$7</f>
        <v>31 000-80 000</v>
      </c>
      <c r="E39" s="54">
        <f>E38*(1-ИТОГО!$L$7)</f>
        <v>9223.73</v>
      </c>
      <c r="F39" s="132"/>
      <c r="G39" s="132"/>
    </row>
    <row r="40" spans="1:7" ht="15.75" customHeight="1">
      <c r="A40" s="136"/>
      <c r="B40" s="136"/>
      <c r="C40" s="136"/>
      <c r="D40" s="44" t="str">
        <f>ИТОГО!$K$8</f>
        <v>81 000-150 000</v>
      </c>
      <c r="E40" s="54">
        <f>E38*(1-ИТОГО!$L$8)</f>
        <v>8843.369999999999</v>
      </c>
      <c r="F40" s="132"/>
      <c r="G40" s="132"/>
    </row>
    <row r="41" spans="1:7" ht="15.75" customHeight="1">
      <c r="A41" s="136"/>
      <c r="B41" s="136"/>
      <c r="C41" s="136"/>
      <c r="D41" s="44" t="str">
        <f>ИТОГО!$K$9</f>
        <v>151 000-300 000</v>
      </c>
      <c r="E41" s="54">
        <f>E38*(1-ИТОГО!$L$9)</f>
        <v>8558.1</v>
      </c>
      <c r="F41" s="132"/>
      <c r="G41" s="132"/>
    </row>
    <row r="42" spans="1:7" ht="15.75" customHeight="1">
      <c r="A42" s="136"/>
      <c r="B42" s="136"/>
      <c r="C42" s="136"/>
      <c r="D42" s="44" t="str">
        <f>ИТОГО!$K$10</f>
        <v>301 000-450 000</v>
      </c>
      <c r="E42" s="54">
        <f>E38*(1-ИТОГО!$L$10)</f>
        <v>8272.83</v>
      </c>
      <c r="F42" s="132"/>
      <c r="G42" s="132"/>
    </row>
    <row r="43" spans="1:7" ht="15.75" customHeight="1">
      <c r="A43" s="136"/>
      <c r="B43" s="136"/>
      <c r="C43" s="136"/>
      <c r="D43" s="44" t="str">
        <f>ИТОГО!$K$11</f>
        <v>451 000-600 000</v>
      </c>
      <c r="E43" s="54">
        <f>E38*(1-ИТОГО!$L$11)</f>
        <v>8082.65</v>
      </c>
      <c r="F43" s="132"/>
      <c r="G43" s="132"/>
    </row>
    <row r="44" spans="1:7" ht="15.75" customHeight="1">
      <c r="A44" s="136"/>
      <c r="B44" s="136"/>
      <c r="C44" s="136"/>
      <c r="D44" s="44" t="str">
        <f>ИТОГО!$K$12</f>
        <v>601 000 и выше</v>
      </c>
      <c r="E44" s="54">
        <f>E38*(1-ИТОГО!$L$12)</f>
        <v>7892.4699999999993</v>
      </c>
      <c r="F44" s="132"/>
      <c r="G44" s="132"/>
    </row>
    <row r="45" spans="1:7" ht="54.75" customHeight="1">
      <c r="A45" s="92"/>
      <c r="B45" s="92"/>
      <c r="C45" s="92"/>
      <c r="D45" s="92"/>
      <c r="E45" s="92"/>
    </row>
    <row r="46" spans="1:7" ht="15.75" customHeight="1">
      <c r="A46" s="145" t="s">
        <v>188</v>
      </c>
      <c r="B46" s="145"/>
      <c r="C46" s="145"/>
      <c r="D46" s="145"/>
      <c r="E46" s="145"/>
    </row>
    <row r="47" spans="1:7" ht="15.75" customHeight="1">
      <c r="A47" s="63" t="s">
        <v>84</v>
      </c>
      <c r="B47" s="63" t="s">
        <v>73</v>
      </c>
      <c r="C47" s="63" t="s">
        <v>74</v>
      </c>
      <c r="D47" s="37" t="s">
        <v>75</v>
      </c>
      <c r="E47" s="63" t="s">
        <v>76</v>
      </c>
      <c r="F47" s="39" t="s">
        <v>77</v>
      </c>
      <c r="G47" s="40" t="s">
        <v>78</v>
      </c>
    </row>
    <row r="48" spans="1:7" ht="15.75" customHeight="1">
      <c r="A48" s="136">
        <v>1</v>
      </c>
      <c r="B48" s="136"/>
      <c r="C48" s="137" t="s">
        <v>175</v>
      </c>
      <c r="D48" s="73" t="str">
        <f>ИТОГО!$K$6</f>
        <v>0-30 000</v>
      </c>
      <c r="E48" s="46">
        <v>9031</v>
      </c>
      <c r="F48" s="132"/>
      <c r="G48" s="133">
        <f>E48*F48</f>
        <v>0</v>
      </c>
    </row>
    <row r="49" spans="1:7" ht="15.75" customHeight="1">
      <c r="A49" s="136"/>
      <c r="B49" s="136"/>
      <c r="C49" s="136"/>
      <c r="D49" s="44" t="str">
        <f>ИТОГО!$K$7</f>
        <v>31 000-80 000</v>
      </c>
      <c r="E49" s="54">
        <f>E48*(1-ИТОГО!$L$7)</f>
        <v>8760.07</v>
      </c>
      <c r="F49" s="132"/>
      <c r="G49" s="132"/>
    </row>
    <row r="50" spans="1:7" ht="15.75" customHeight="1">
      <c r="A50" s="136"/>
      <c r="B50" s="136"/>
      <c r="C50" s="136"/>
      <c r="D50" s="44" t="str">
        <f>ИТОГО!$K$8</f>
        <v>81 000-150 000</v>
      </c>
      <c r="E50" s="54">
        <f>E48*(1-ИТОГО!$L$8)</f>
        <v>8398.83</v>
      </c>
      <c r="F50" s="132"/>
      <c r="G50" s="132"/>
    </row>
    <row r="51" spans="1:7" ht="15.75" customHeight="1">
      <c r="A51" s="136"/>
      <c r="B51" s="136"/>
      <c r="C51" s="136"/>
      <c r="D51" s="44" t="str">
        <f>ИТОГО!$K$9</f>
        <v>151 000-300 000</v>
      </c>
      <c r="E51" s="54">
        <f>E48*(1-ИТОГО!$L$9)</f>
        <v>8127.9000000000005</v>
      </c>
      <c r="F51" s="132"/>
      <c r="G51" s="132"/>
    </row>
    <row r="52" spans="1:7" ht="15.75" customHeight="1">
      <c r="A52" s="136"/>
      <c r="B52" s="136"/>
      <c r="C52" s="136"/>
      <c r="D52" s="44" t="str">
        <f>ИТОГО!$K$10</f>
        <v>301 000-450 000</v>
      </c>
      <c r="E52" s="54">
        <f>E48*(1-ИТОГО!$L$10)</f>
        <v>7856.97</v>
      </c>
      <c r="F52" s="132"/>
      <c r="G52" s="132"/>
    </row>
    <row r="53" spans="1:7" ht="15.75" customHeight="1">
      <c r="A53" s="136"/>
      <c r="B53" s="136"/>
      <c r="C53" s="136"/>
      <c r="D53" s="44" t="str">
        <f>ИТОГО!$K$11</f>
        <v>451 000-600 000</v>
      </c>
      <c r="E53" s="54">
        <f>E48*(1-ИТОГО!$L$11)</f>
        <v>7676.3499999999995</v>
      </c>
      <c r="F53" s="132"/>
      <c r="G53" s="132"/>
    </row>
    <row r="54" spans="1:7" ht="15.75" customHeight="1">
      <c r="A54" s="136"/>
      <c r="B54" s="136"/>
      <c r="C54" s="136"/>
      <c r="D54" s="44" t="str">
        <f>ИТОГО!$K$12</f>
        <v>601 000 и выше</v>
      </c>
      <c r="E54" s="54">
        <f>E48*(1-ИТОГО!$L$12)</f>
        <v>7495.73</v>
      </c>
      <c r="F54" s="132"/>
      <c r="G54" s="132"/>
    </row>
    <row r="55" spans="1:7" ht="15.75" customHeight="1">
      <c r="A55" s="136">
        <v>2</v>
      </c>
      <c r="B55" s="136"/>
      <c r="C55" s="137" t="s">
        <v>176</v>
      </c>
      <c r="D55" s="73" t="str">
        <f>ИТОГО!$K$6</f>
        <v>0-30 000</v>
      </c>
      <c r="E55" s="46">
        <v>10259</v>
      </c>
      <c r="F55" s="132"/>
      <c r="G55" s="133">
        <f>E55*F55</f>
        <v>0</v>
      </c>
    </row>
    <row r="56" spans="1:7" ht="15.75" customHeight="1">
      <c r="A56" s="136"/>
      <c r="B56" s="136"/>
      <c r="C56" s="136"/>
      <c r="D56" s="44" t="str">
        <f>ИТОГО!$K$7</f>
        <v>31 000-80 000</v>
      </c>
      <c r="E56" s="54">
        <f>E55*(1-ИТОГО!$L$7)</f>
        <v>9951.23</v>
      </c>
      <c r="F56" s="132"/>
      <c r="G56" s="132"/>
    </row>
    <row r="57" spans="1:7" ht="15.75" customHeight="1">
      <c r="A57" s="136"/>
      <c r="B57" s="136"/>
      <c r="C57" s="136"/>
      <c r="D57" s="44" t="str">
        <f>ИТОГО!$K$8</f>
        <v>81 000-150 000</v>
      </c>
      <c r="E57" s="54">
        <f>E55*(1-ИТОГО!$L$8)</f>
        <v>9540.869999999999</v>
      </c>
      <c r="F57" s="132"/>
      <c r="G57" s="132"/>
    </row>
    <row r="58" spans="1:7" ht="15.75" customHeight="1">
      <c r="A58" s="136"/>
      <c r="B58" s="136"/>
      <c r="C58" s="136"/>
      <c r="D58" s="44" t="str">
        <f>ИТОГО!$K$9</f>
        <v>151 000-300 000</v>
      </c>
      <c r="E58" s="54">
        <f>E55*(1-ИТОГО!$L$9)</f>
        <v>9233.1</v>
      </c>
      <c r="F58" s="132"/>
      <c r="G58" s="132"/>
    </row>
    <row r="59" spans="1:7" ht="15.75" customHeight="1">
      <c r="A59" s="136"/>
      <c r="B59" s="136"/>
      <c r="C59" s="136"/>
      <c r="D59" s="44" t="str">
        <f>ИТОГО!$K$10</f>
        <v>301 000-450 000</v>
      </c>
      <c r="E59" s="54">
        <f>E55*(1-ИТОГО!$L$10)</f>
        <v>8925.33</v>
      </c>
      <c r="F59" s="132"/>
      <c r="G59" s="132"/>
    </row>
    <row r="60" spans="1:7" ht="15.75" customHeight="1">
      <c r="A60" s="136"/>
      <c r="B60" s="136"/>
      <c r="C60" s="136"/>
      <c r="D60" s="44" t="str">
        <f>ИТОГО!$K$11</f>
        <v>451 000-600 000</v>
      </c>
      <c r="E60" s="54">
        <f>E55*(1-ИТОГО!$L$11)</f>
        <v>8720.15</v>
      </c>
      <c r="F60" s="132"/>
      <c r="G60" s="132"/>
    </row>
    <row r="61" spans="1:7" ht="15.75" customHeight="1">
      <c r="A61" s="136"/>
      <c r="B61" s="136"/>
      <c r="C61" s="136"/>
      <c r="D61" s="44" t="str">
        <f>ИТОГО!$K$12</f>
        <v>601 000 и выше</v>
      </c>
      <c r="E61" s="54">
        <f>E55*(1-ИТОГО!$L$12)</f>
        <v>8514.9699999999993</v>
      </c>
      <c r="F61" s="132"/>
      <c r="G61" s="132"/>
    </row>
  </sheetData>
  <mergeCells count="43">
    <mergeCell ref="G48:G54"/>
    <mergeCell ref="A55:A61"/>
    <mergeCell ref="B55:B61"/>
    <mergeCell ref="C55:C61"/>
    <mergeCell ref="F55:F61"/>
    <mergeCell ref="G55:G61"/>
    <mergeCell ref="A46:E46"/>
    <mergeCell ref="A48:A54"/>
    <mergeCell ref="B48:B54"/>
    <mergeCell ref="C48:C54"/>
    <mergeCell ref="F48:F54"/>
    <mergeCell ref="A38:A44"/>
    <mergeCell ref="B38:B44"/>
    <mergeCell ref="C38:C44"/>
    <mergeCell ref="F38:F44"/>
    <mergeCell ref="G38:G44"/>
    <mergeCell ref="A31:A37"/>
    <mergeCell ref="B31:B37"/>
    <mergeCell ref="C31:C37"/>
    <mergeCell ref="F31:F37"/>
    <mergeCell ref="G31:G37"/>
    <mergeCell ref="A24:A30"/>
    <mergeCell ref="B24:B30"/>
    <mergeCell ref="C24:C30"/>
    <mergeCell ref="F24:F30"/>
    <mergeCell ref="G24:G30"/>
    <mergeCell ref="A17:A23"/>
    <mergeCell ref="B17:B23"/>
    <mergeCell ref="C17:C23"/>
    <mergeCell ref="F17:F23"/>
    <mergeCell ref="G17:G23"/>
    <mergeCell ref="G3:G9"/>
    <mergeCell ref="H9:N9"/>
    <mergeCell ref="A10:A16"/>
    <mergeCell ref="B10:B16"/>
    <mergeCell ref="C10:C16"/>
    <mergeCell ref="F10:F16"/>
    <mergeCell ref="G10:G16"/>
    <mergeCell ref="A1:E1"/>
    <mergeCell ref="A3:A9"/>
    <mergeCell ref="B3:B9"/>
    <mergeCell ref="C3:C9"/>
    <mergeCell ref="F3:F9"/>
  </mergeCells>
  <conditionalFormatting sqref="H3:I8">
    <cfRule type="expression" dxfId="18" priority="2">
      <formula>$H3=cur_label</formula>
    </cfRule>
  </conditionalFormatting>
  <conditionalFormatting sqref="D3:E61">
    <cfRule type="expression" dxfId="17" priority="3">
      <formula>AND($D3&lt;&gt;"",$D3=cur_label)</formula>
    </cfRule>
  </conditionalFormatting>
  <hyperlinks>
    <hyperlink ref="C3" r:id="rId1"/>
    <hyperlink ref="C10" r:id="rId2"/>
    <hyperlink ref="C17" r:id="rId3"/>
    <hyperlink ref="C24" r:id="rId4"/>
    <hyperlink ref="C31" r:id="rId5"/>
    <hyperlink ref="C38" r:id="rId6"/>
    <hyperlink ref="C48" r:id="rId7"/>
    <hyperlink ref="C55" r:id="rId8"/>
  </hyperlinks>
  <pageMargins left="0.7" right="0.7" top="0.75" bottom="0.75" header="0.511811023622047" footer="0.511811023622047"/>
  <pageSetup paperSize="9" fitToHeight="0" orientation="landscape" horizontalDpi="300" verticalDpi="300"/>
  <drawing r:id="rId9"/>
  <tableParts count="3">
    <tablePart r:id="rId10"/>
    <tablePart r:id="rId11"/>
    <tablePart r:id="rId12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10"/>
  <sheetViews>
    <sheetView zoomScaleNormal="100" workbookViewId="0">
      <pane ySplit="2" topLeftCell="A3" activePane="bottomLeft" state="frozen"/>
      <selection pane="bottomLeft" activeCell="E43" sqref="E43"/>
    </sheetView>
  </sheetViews>
  <sheetFormatPr defaultColWidth="8.5703125" defaultRowHeight="15"/>
  <cols>
    <col min="1" max="1" width="5.85546875" style="1" customWidth="1"/>
    <col min="2" max="5" width="17.42578125" style="1" customWidth="1"/>
    <col min="6" max="6" width="14.28515625" style="1" customWidth="1"/>
    <col min="7" max="7" width="14.42578125" style="1" customWidth="1"/>
    <col min="8" max="8" width="16.7109375" style="1" customWidth="1"/>
    <col min="9" max="9" width="20.5703125" style="1" customWidth="1"/>
    <col min="10" max="10" width="11.140625" style="1" customWidth="1"/>
    <col min="11" max="11" width="13.7109375" style="1" customWidth="1"/>
    <col min="13" max="13" width="19.140625" style="1" customWidth="1"/>
    <col min="15" max="15" width="11" style="1" customWidth="1"/>
    <col min="16" max="16" width="14.28515625" style="1" customWidth="1"/>
  </cols>
  <sheetData>
    <row r="1" spans="1:16" ht="15.75" customHeight="1">
      <c r="A1" s="138" t="s">
        <v>189</v>
      </c>
      <c r="B1" s="138"/>
      <c r="C1" s="138"/>
      <c r="D1" s="138"/>
      <c r="E1" s="138"/>
    </row>
    <row r="2" spans="1:16" ht="15.75" customHeight="1">
      <c r="A2" s="63" t="s">
        <v>84</v>
      </c>
      <c r="B2" s="63" t="s">
        <v>73</v>
      </c>
      <c r="C2" s="63" t="s">
        <v>74</v>
      </c>
      <c r="D2" s="37" t="s">
        <v>75</v>
      </c>
      <c r="E2" s="63" t="s">
        <v>76</v>
      </c>
      <c r="F2" s="39" t="s">
        <v>77</v>
      </c>
      <c r="G2" s="40" t="s">
        <v>78</v>
      </c>
      <c r="H2" s="42" t="s">
        <v>78</v>
      </c>
      <c r="I2" s="42" t="s">
        <v>34</v>
      </c>
      <c r="J2" s="39" t="s">
        <v>79</v>
      </c>
      <c r="K2" s="40" t="s">
        <v>80</v>
      </c>
      <c r="L2" s="43" t="s">
        <v>34</v>
      </c>
      <c r="M2" s="40" t="s">
        <v>39</v>
      </c>
    </row>
    <row r="3" spans="1:16" ht="15.75" customHeight="1">
      <c r="A3" s="136">
        <v>1</v>
      </c>
      <c r="B3" s="136"/>
      <c r="C3" s="137" t="s">
        <v>190</v>
      </c>
      <c r="D3" s="73" t="str">
        <f>ИТОГО!$K$6</f>
        <v>0-30 000</v>
      </c>
      <c r="E3" s="46">
        <v>5618</v>
      </c>
      <c r="F3" s="132"/>
      <c r="G3" s="133">
        <f>E3*F3</f>
        <v>0</v>
      </c>
      <c r="H3" s="41" t="str">
        <f>ИТОГО!$K$7</f>
        <v>31 000-80 000</v>
      </c>
      <c r="I3" s="49">
        <f>ИТОГО!$L$7</f>
        <v>0.03</v>
      </c>
      <c r="J3" s="50">
        <f>F3+F10+F17+F24+F31+F38+F45+F52+F59+F66+F76+F83+F90+F97+F104</f>
        <v>0</v>
      </c>
      <c r="K3" s="51">
        <f>G3+G10+G17+G24+G31+G38+G45+G52+G59+G66+G76+G83+G90+G97+G104</f>
        <v>0</v>
      </c>
      <c r="L3" s="52">
        <f>cur_rate</f>
        <v>0</v>
      </c>
      <c r="M3" s="51">
        <f>K3-K3*L3</f>
        <v>0</v>
      </c>
    </row>
    <row r="4" spans="1:16" ht="15.75" customHeight="1">
      <c r="A4" s="136"/>
      <c r="B4" s="136"/>
      <c r="C4" s="136"/>
      <c r="D4" s="44" t="str">
        <f>ИТОГО!$K$7</f>
        <v>31 000-80 000</v>
      </c>
      <c r="E4" s="54">
        <f>E3*(1-ИТОГО!$L$7)</f>
        <v>5449.46</v>
      </c>
      <c r="F4" s="132"/>
      <c r="G4" s="132"/>
      <c r="H4" s="41" t="str">
        <f>ИТОГО!$K$8</f>
        <v>81 000-150 000</v>
      </c>
      <c r="I4" s="49">
        <f>ИТОГО!$L$8</f>
        <v>7.0000000000000007E-2</v>
      </c>
    </row>
    <row r="5" spans="1:16" ht="15.75" customHeight="1">
      <c r="A5" s="136"/>
      <c r="B5" s="136"/>
      <c r="C5" s="136"/>
      <c r="D5" s="44" t="str">
        <f>ИТОГО!$K$8</f>
        <v>81 000-150 000</v>
      </c>
      <c r="E5" s="54">
        <f>E3*(1-ИТОГО!$L$8)</f>
        <v>5224.74</v>
      </c>
      <c r="F5" s="132"/>
      <c r="G5" s="132"/>
      <c r="H5" s="41" t="str">
        <f>ИТОГО!$K$9</f>
        <v>151 000-300 000</v>
      </c>
      <c r="I5" s="49">
        <f>ИТОГО!$L$9</f>
        <v>0.1</v>
      </c>
    </row>
    <row r="6" spans="1:16" ht="15.75" customHeight="1">
      <c r="A6" s="136"/>
      <c r="B6" s="136"/>
      <c r="C6" s="136"/>
      <c r="D6" s="44" t="str">
        <f>ИТОГО!$K$9</f>
        <v>151 000-300 000</v>
      </c>
      <c r="E6" s="54">
        <f>E3*(1-ИТОГО!$L$9)</f>
        <v>5056.2</v>
      </c>
      <c r="F6" s="132"/>
      <c r="G6" s="132"/>
      <c r="H6" s="41" t="str">
        <f>ИТОГО!$K$10</f>
        <v>301 000-450 000</v>
      </c>
      <c r="I6" s="49">
        <f>ИТОГО!$L$10</f>
        <v>0.13</v>
      </c>
    </row>
    <row r="7" spans="1:16" ht="15.75" customHeight="1">
      <c r="A7" s="136"/>
      <c r="B7" s="136"/>
      <c r="C7" s="136"/>
      <c r="D7" s="44" t="str">
        <f>ИТОГО!$K$10</f>
        <v>301 000-450 000</v>
      </c>
      <c r="E7" s="54">
        <f>E3*(1-ИТОГО!$L$10)</f>
        <v>4887.66</v>
      </c>
      <c r="F7" s="132"/>
      <c r="G7" s="132"/>
      <c r="H7" s="41" t="str">
        <f>ИТОГО!$K$11</f>
        <v>451 000-600 000</v>
      </c>
      <c r="I7" s="49">
        <f>ИТОГО!$L$11</f>
        <v>0.15</v>
      </c>
    </row>
    <row r="8" spans="1:16" ht="15.75" customHeight="1">
      <c r="A8" s="136"/>
      <c r="B8" s="136"/>
      <c r="C8" s="136"/>
      <c r="D8" s="44" t="str">
        <f>ИТОГО!$K$11</f>
        <v>451 000-600 000</v>
      </c>
      <c r="E8" s="54">
        <f>E3*(1-ИТОГО!$L$11)</f>
        <v>4775.3</v>
      </c>
      <c r="F8" s="132"/>
      <c r="G8" s="132"/>
      <c r="H8" s="55" t="str">
        <f>ИТОГО!$K$12</f>
        <v>601 000 и выше</v>
      </c>
      <c r="I8" s="56">
        <f>ИТОГО!$L$12</f>
        <v>0.17</v>
      </c>
    </row>
    <row r="9" spans="1:16" ht="15.75" customHeight="1">
      <c r="A9" s="136"/>
      <c r="B9" s="136"/>
      <c r="C9" s="136"/>
      <c r="D9" s="44" t="str">
        <f>ИТОГО!$K$12</f>
        <v>601 000 и выше</v>
      </c>
      <c r="E9" s="54">
        <f>E3*(1-ИТОГО!$L$12)</f>
        <v>4662.9399999999996</v>
      </c>
      <c r="F9" s="132"/>
      <c r="G9" s="132"/>
      <c r="H9" s="144" t="s">
        <v>83</v>
      </c>
      <c r="I9" s="144"/>
      <c r="J9" s="144"/>
      <c r="K9" s="144"/>
      <c r="L9" s="144"/>
      <c r="M9" s="144"/>
      <c r="N9" s="144"/>
    </row>
    <row r="10" spans="1:16" ht="15.75" customHeight="1">
      <c r="A10" s="136">
        <v>2</v>
      </c>
      <c r="B10" s="136"/>
      <c r="C10" s="137" t="s">
        <v>191</v>
      </c>
      <c r="D10" s="73" t="str">
        <f>ИТОГО!$K$6</f>
        <v>0-30 000</v>
      </c>
      <c r="E10" s="46">
        <v>6301</v>
      </c>
      <c r="F10" s="132"/>
      <c r="G10" s="133">
        <f>E10*F10</f>
        <v>0</v>
      </c>
      <c r="H10" s="84" t="s">
        <v>84</v>
      </c>
      <c r="I10" s="84" t="s">
        <v>74</v>
      </c>
      <c r="J10" s="84" t="s">
        <v>86</v>
      </c>
      <c r="K10" s="84" t="s">
        <v>87</v>
      </c>
      <c r="L10" s="84" t="s">
        <v>88</v>
      </c>
      <c r="M10" s="84" t="s">
        <v>89</v>
      </c>
      <c r="N10" s="84" t="s">
        <v>102</v>
      </c>
      <c r="O10" s="84" t="s">
        <v>91</v>
      </c>
      <c r="P10" s="84" t="s">
        <v>92</v>
      </c>
    </row>
    <row r="11" spans="1:16" ht="15.75" customHeight="1">
      <c r="A11" s="136"/>
      <c r="B11" s="136"/>
      <c r="C11" s="136"/>
      <c r="D11" s="44" t="str">
        <f>ИТОГО!$K$7</f>
        <v>31 000-80 000</v>
      </c>
      <c r="E11" s="54">
        <f>E10*(1-ИТОГО!$L$7)</f>
        <v>6111.97</v>
      </c>
      <c r="F11" s="132"/>
      <c r="G11" s="132"/>
      <c r="H11" s="84">
        <v>1</v>
      </c>
      <c r="I11" s="84" t="s">
        <v>190</v>
      </c>
      <c r="J11" s="84">
        <v>350</v>
      </c>
      <c r="K11" s="84">
        <v>270</v>
      </c>
      <c r="L11" s="84">
        <v>380</v>
      </c>
      <c r="M11" s="85">
        <f>Таблица8[[#This Row],[Длина]]*Таблица8[[#This Row],[Ширина]]*Таблица8[[#This Row],[Высота]]*0.000000001</f>
        <v>3.5910000000000004E-2</v>
      </c>
      <c r="N11" s="85">
        <v>2.2999999999999998</v>
      </c>
      <c r="O11" s="85">
        <f>Таблица8[[#This Row],[Вес]]*F3</f>
        <v>0</v>
      </c>
      <c r="P11" s="85">
        <f>Таблица8[[#This Row],[Объем]]*F3</f>
        <v>0</v>
      </c>
    </row>
    <row r="12" spans="1:16" ht="15.75" customHeight="1">
      <c r="A12" s="136"/>
      <c r="B12" s="136"/>
      <c r="C12" s="136"/>
      <c r="D12" s="44" t="str">
        <f>ИТОГО!$K$8</f>
        <v>81 000-150 000</v>
      </c>
      <c r="E12" s="54">
        <f>E10*(1-ИТОГО!$L$8)</f>
        <v>5859.9299999999994</v>
      </c>
      <c r="F12" s="132"/>
      <c r="G12" s="132"/>
      <c r="H12" s="84">
        <v>2</v>
      </c>
      <c r="I12" s="84" t="s">
        <v>191</v>
      </c>
      <c r="J12" s="84">
        <v>380</v>
      </c>
      <c r="K12" s="84">
        <v>330</v>
      </c>
      <c r="L12" s="84">
        <v>410</v>
      </c>
      <c r="M12" s="85">
        <f>Таблица8[[#This Row],[Длина]]*Таблица8[[#This Row],[Ширина]]*Таблица8[[#This Row],[Высота]]*0.000000001</f>
        <v>5.1414000000000001E-2</v>
      </c>
      <c r="N12" s="85">
        <v>2.7</v>
      </c>
      <c r="O12" s="85">
        <f>Таблица8[[#This Row],[Вес]]*F10</f>
        <v>0</v>
      </c>
      <c r="P12" s="85">
        <f>Таблица8[[#This Row],[Объем]]*F10</f>
        <v>0</v>
      </c>
    </row>
    <row r="13" spans="1:16" ht="15.75" customHeight="1">
      <c r="A13" s="136"/>
      <c r="B13" s="136"/>
      <c r="C13" s="136"/>
      <c r="D13" s="44" t="str">
        <f>ИТОГО!$K$9</f>
        <v>151 000-300 000</v>
      </c>
      <c r="E13" s="54">
        <f>E10*(1-ИТОГО!$L$9)</f>
        <v>5670.9000000000005</v>
      </c>
      <c r="F13" s="132"/>
      <c r="G13" s="132"/>
      <c r="H13" s="84">
        <v>3</v>
      </c>
      <c r="I13" s="84" t="s">
        <v>192</v>
      </c>
      <c r="J13" s="84">
        <v>370</v>
      </c>
      <c r="K13" s="84">
        <v>330</v>
      </c>
      <c r="L13" s="84">
        <v>560</v>
      </c>
      <c r="M13" s="85">
        <f>Таблица8[[#This Row],[Длина]]*Таблица8[[#This Row],[Ширина]]*Таблица8[[#This Row],[Высота]]*0.000000001</f>
        <v>6.8376000000000006E-2</v>
      </c>
      <c r="N13" s="85">
        <v>3.2</v>
      </c>
      <c r="O13" s="85">
        <f>Таблица8[[#This Row],[Вес]]*F17</f>
        <v>0</v>
      </c>
      <c r="P13" s="85">
        <f>Таблица8[[#This Row],[Объем]]*F17</f>
        <v>0</v>
      </c>
    </row>
    <row r="14" spans="1:16" ht="15.75" customHeight="1">
      <c r="A14" s="136"/>
      <c r="B14" s="136"/>
      <c r="C14" s="136"/>
      <c r="D14" s="44" t="str">
        <f>ИТОГО!$K$10</f>
        <v>301 000-450 000</v>
      </c>
      <c r="E14" s="54">
        <f>E10*(1-ИТОГО!$L$10)</f>
        <v>5481.87</v>
      </c>
      <c r="F14" s="132"/>
      <c r="G14" s="132"/>
      <c r="H14" s="84">
        <v>4</v>
      </c>
      <c r="I14" s="84" t="s">
        <v>193</v>
      </c>
      <c r="J14" s="84">
        <v>370</v>
      </c>
      <c r="K14" s="84">
        <v>330</v>
      </c>
      <c r="L14" s="84">
        <v>560</v>
      </c>
      <c r="M14" s="85">
        <f>Таблица8[[#This Row],[Длина]]*Таблица8[[#This Row],[Ширина]]*Таблица8[[#This Row],[Высота]]*0.000000001</f>
        <v>6.8376000000000006E-2</v>
      </c>
      <c r="N14" s="85">
        <v>3.6</v>
      </c>
      <c r="O14" s="85">
        <f>Таблица8[[#This Row],[Вес]]*F24</f>
        <v>0</v>
      </c>
      <c r="P14" s="85">
        <f>Таблица8[[#This Row],[Объем]]*F24</f>
        <v>0</v>
      </c>
    </row>
    <row r="15" spans="1:16" ht="15.75" customHeight="1">
      <c r="A15" s="136"/>
      <c r="B15" s="136"/>
      <c r="C15" s="136"/>
      <c r="D15" s="44" t="str">
        <f>ИТОГО!$K$11</f>
        <v>451 000-600 000</v>
      </c>
      <c r="E15" s="54">
        <f>E10*(1-ИТОГО!$L$11)</f>
        <v>5355.8499999999995</v>
      </c>
      <c r="F15" s="132"/>
      <c r="G15" s="132"/>
      <c r="H15" s="84">
        <v>5</v>
      </c>
      <c r="I15" s="84" t="s">
        <v>194</v>
      </c>
      <c r="J15" s="84">
        <v>400</v>
      </c>
      <c r="K15" s="84">
        <v>420</v>
      </c>
      <c r="L15" s="84">
        <v>500</v>
      </c>
      <c r="M15" s="85">
        <f>Таблица8[[#This Row],[Длина]]*Таблица8[[#This Row],[Ширина]]*Таблица8[[#This Row],[Высота]]*0.000000001</f>
        <v>8.4000000000000005E-2</v>
      </c>
      <c r="N15" s="85">
        <v>4.5999999999999996</v>
      </c>
      <c r="O15" s="85">
        <f>Таблица8[[#This Row],[Вес]]*F31</f>
        <v>0</v>
      </c>
      <c r="P15" s="85">
        <f>Таблица8[[#This Row],[Объем]]*F31</f>
        <v>0</v>
      </c>
    </row>
    <row r="16" spans="1:16" ht="15.75" customHeight="1">
      <c r="A16" s="136"/>
      <c r="B16" s="136"/>
      <c r="C16" s="136"/>
      <c r="D16" s="44" t="str">
        <f>ИТОГО!$K$12</f>
        <v>601 000 и выше</v>
      </c>
      <c r="E16" s="54">
        <f>E10*(1-ИТОГО!$L$12)</f>
        <v>5229.83</v>
      </c>
      <c r="F16" s="132"/>
      <c r="G16" s="132"/>
      <c r="H16" s="84">
        <v>6</v>
      </c>
      <c r="I16" s="84" t="s">
        <v>195</v>
      </c>
      <c r="J16" s="84">
        <v>390</v>
      </c>
      <c r="K16" s="84">
        <v>420</v>
      </c>
      <c r="L16" s="84">
        <v>650</v>
      </c>
      <c r="M16" s="85">
        <f>Таблица8[[#This Row],[Длина]]*Таблица8[[#This Row],[Ширина]]*Таблица8[[#This Row],[Высота]]*0.000000001</f>
        <v>0.10647000000000001</v>
      </c>
      <c r="N16" s="85">
        <v>6.1</v>
      </c>
      <c r="O16" s="85">
        <f>Таблица8[[#This Row],[Вес]]*F38</f>
        <v>0</v>
      </c>
      <c r="P16" s="85">
        <f>Таблица8[[#This Row],[Объем]]*F38</f>
        <v>0</v>
      </c>
    </row>
    <row r="17" spans="1:16" ht="15.75" customHeight="1">
      <c r="A17" s="136">
        <v>3</v>
      </c>
      <c r="B17" s="136"/>
      <c r="C17" s="137" t="s">
        <v>192</v>
      </c>
      <c r="D17" s="73" t="str">
        <f>ИТОГО!$K$6</f>
        <v>0-30 000</v>
      </c>
      <c r="E17" s="46">
        <v>7325</v>
      </c>
      <c r="F17" s="132"/>
      <c r="G17" s="133">
        <f>E17*F17</f>
        <v>0</v>
      </c>
      <c r="H17" s="84">
        <v>7</v>
      </c>
      <c r="I17" s="84" t="s">
        <v>196</v>
      </c>
      <c r="J17" s="84">
        <v>420</v>
      </c>
      <c r="K17" s="84">
        <v>420</v>
      </c>
      <c r="L17" s="84">
        <v>1050</v>
      </c>
      <c r="M17" s="85">
        <f>Таблица8[[#This Row],[Длина]]*Таблица8[[#This Row],[Ширина]]*Таблица8[[#This Row],[Высота]]*0.000000001</f>
        <v>0.18522000000000002</v>
      </c>
      <c r="N17" s="85">
        <v>6.4</v>
      </c>
      <c r="O17" s="85">
        <f>Таблица8[[#This Row],[Вес]]*F45</f>
        <v>0</v>
      </c>
      <c r="P17" s="85">
        <f>Таблица8[[#This Row],[Объем]]*F45</f>
        <v>0</v>
      </c>
    </row>
    <row r="18" spans="1:16" ht="15.75" customHeight="1">
      <c r="A18" s="136"/>
      <c r="B18" s="136"/>
      <c r="C18" s="136"/>
      <c r="D18" s="44" t="str">
        <f>ИТОГО!$K$7</f>
        <v>31 000-80 000</v>
      </c>
      <c r="E18" s="54">
        <f>E17*(1-ИТОГО!$L$7)</f>
        <v>7105.25</v>
      </c>
      <c r="F18" s="132"/>
      <c r="G18" s="132"/>
      <c r="H18" s="84">
        <v>8</v>
      </c>
      <c r="I18" s="84" t="s">
        <v>197</v>
      </c>
      <c r="J18" s="84">
        <v>370</v>
      </c>
      <c r="K18" s="84">
        <v>260</v>
      </c>
      <c r="L18" s="84">
        <v>470</v>
      </c>
      <c r="M18" s="85">
        <f>J18*K18*L18*0.000000001</f>
        <v>4.5214000000000004E-2</v>
      </c>
      <c r="N18" s="93">
        <v>2.5</v>
      </c>
      <c r="O18" s="85">
        <f>N18*F76</f>
        <v>0</v>
      </c>
      <c r="P18" s="85">
        <f>M18*F76</f>
        <v>0</v>
      </c>
    </row>
    <row r="19" spans="1:16" ht="15.75" customHeight="1">
      <c r="A19" s="136"/>
      <c r="B19" s="136"/>
      <c r="C19" s="136"/>
      <c r="D19" s="44" t="str">
        <f>ИТОГО!$K$8</f>
        <v>81 000-150 000</v>
      </c>
      <c r="E19" s="54">
        <f>E17*(1-ИТОГО!$L$8)</f>
        <v>6812.2499999999991</v>
      </c>
      <c r="F19" s="132"/>
      <c r="G19" s="132"/>
      <c r="H19" s="84">
        <v>9</v>
      </c>
      <c r="I19" s="84" t="s">
        <v>198</v>
      </c>
      <c r="J19" s="84">
        <v>380</v>
      </c>
      <c r="K19" s="84">
        <v>330</v>
      </c>
      <c r="L19" s="84">
        <v>410</v>
      </c>
      <c r="M19" s="85">
        <f>J19*K19*L19*0.000000001</f>
        <v>5.1414000000000001E-2</v>
      </c>
      <c r="N19" s="93">
        <v>3.6</v>
      </c>
      <c r="O19" s="85">
        <f>N19*F83</f>
        <v>0</v>
      </c>
      <c r="P19" s="85">
        <f>M19*F83</f>
        <v>0</v>
      </c>
    </row>
    <row r="20" spans="1:16" ht="15.75" customHeight="1">
      <c r="A20" s="136"/>
      <c r="B20" s="136"/>
      <c r="C20" s="136"/>
      <c r="D20" s="44" t="str">
        <f>ИТОГО!$K$9</f>
        <v>151 000-300 000</v>
      </c>
      <c r="E20" s="54">
        <f>E17*(1-ИТОГО!$L$9)</f>
        <v>6592.5</v>
      </c>
      <c r="F20" s="132"/>
      <c r="G20" s="132"/>
      <c r="H20" s="84">
        <v>10</v>
      </c>
      <c r="I20" s="84" t="s">
        <v>199</v>
      </c>
      <c r="J20" s="84">
        <v>370</v>
      </c>
      <c r="K20" s="84">
        <v>320</v>
      </c>
      <c r="L20" s="84">
        <v>680</v>
      </c>
      <c r="M20" s="85">
        <f>J20*K20*L20*0.000000001</f>
        <v>8.0512E-2</v>
      </c>
      <c r="N20" s="93">
        <v>4.3</v>
      </c>
      <c r="O20" s="85">
        <f>N20*F90</f>
        <v>0</v>
      </c>
      <c r="P20" s="85">
        <f>M20*F90</f>
        <v>0</v>
      </c>
    </row>
    <row r="21" spans="1:16" ht="15.75" customHeight="1">
      <c r="A21" s="136"/>
      <c r="B21" s="136"/>
      <c r="C21" s="136"/>
      <c r="D21" s="44" t="str">
        <f>ИТОГО!$K$10</f>
        <v>301 000-450 000</v>
      </c>
      <c r="E21" s="54">
        <f>E17*(1-ИТОГО!$L$10)</f>
        <v>6372.75</v>
      </c>
      <c r="F21" s="132"/>
      <c r="G21" s="132"/>
      <c r="H21" s="84">
        <v>11</v>
      </c>
      <c r="I21" s="84" t="s">
        <v>200</v>
      </c>
      <c r="J21" s="84">
        <v>370</v>
      </c>
      <c r="K21" s="84">
        <v>320</v>
      </c>
      <c r="L21" s="84">
        <v>680</v>
      </c>
      <c r="M21" s="85">
        <f>J21*K21*L21*0.000000001</f>
        <v>8.0512E-2</v>
      </c>
      <c r="N21" s="93">
        <v>4.5</v>
      </c>
      <c r="O21" s="85">
        <f>N21*F97</f>
        <v>0</v>
      </c>
      <c r="P21" s="85">
        <f>M21*F97</f>
        <v>0</v>
      </c>
    </row>
    <row r="22" spans="1:16" ht="15.75" customHeight="1">
      <c r="A22" s="136"/>
      <c r="B22" s="136"/>
      <c r="C22" s="136"/>
      <c r="D22" s="44" t="str">
        <f>ИТОГО!$K$11</f>
        <v>451 000-600 000</v>
      </c>
      <c r="E22" s="54">
        <f>E17*(1-ИТОГО!$L$11)</f>
        <v>6226.25</v>
      </c>
      <c r="F22" s="132"/>
      <c r="G22" s="132"/>
      <c r="H22" s="84">
        <v>12</v>
      </c>
      <c r="I22" s="84" t="s">
        <v>201</v>
      </c>
      <c r="J22" s="84">
        <v>390</v>
      </c>
      <c r="K22" s="84">
        <v>420</v>
      </c>
      <c r="L22" s="84">
        <v>650</v>
      </c>
      <c r="M22" s="85">
        <f>J22*K22*L22*0.000000001</f>
        <v>0.10647000000000001</v>
      </c>
      <c r="N22" s="94">
        <v>5.6</v>
      </c>
      <c r="O22" s="85">
        <f>N22*F104</f>
        <v>0</v>
      </c>
      <c r="P22" s="85">
        <f>M22*F104</f>
        <v>0</v>
      </c>
    </row>
    <row r="23" spans="1:16" ht="15.75" customHeight="1">
      <c r="A23" s="136"/>
      <c r="B23" s="136"/>
      <c r="C23" s="136"/>
      <c r="D23" s="44" t="str">
        <f>ИТОГО!$K$12</f>
        <v>601 000 и выше</v>
      </c>
      <c r="E23" s="54">
        <f>E17*(1-ИТОГО!$L$12)</f>
        <v>6079.75</v>
      </c>
      <c r="F23" s="132"/>
      <c r="G23" s="132"/>
      <c r="H23" s="87"/>
      <c r="I23" s="87"/>
      <c r="J23" s="87"/>
      <c r="K23" s="87"/>
      <c r="L23" s="87"/>
      <c r="M23" s="87"/>
      <c r="N23" s="88" t="s">
        <v>100</v>
      </c>
      <c r="O23" s="91">
        <f>SUM(O11:O22)</f>
        <v>0</v>
      </c>
      <c r="P23" s="91">
        <f>SUM(P11:P22)</f>
        <v>0</v>
      </c>
    </row>
    <row r="24" spans="1:16" ht="15.75" customHeight="1">
      <c r="A24" s="136">
        <v>4</v>
      </c>
      <c r="B24" s="136"/>
      <c r="C24" s="137" t="s">
        <v>193</v>
      </c>
      <c r="D24" s="73" t="str">
        <f>ИТОГО!$K$6</f>
        <v>0-30 000</v>
      </c>
      <c r="E24" s="46">
        <v>8007</v>
      </c>
      <c r="F24" s="132"/>
      <c r="G24" s="133">
        <f>E24*F24</f>
        <v>0</v>
      </c>
      <c r="H24" s="87"/>
      <c r="I24" s="87"/>
      <c r="J24" s="87"/>
      <c r="K24" s="87"/>
      <c r="L24" s="87"/>
      <c r="M24" s="87"/>
      <c r="N24" s="87"/>
    </row>
    <row r="25" spans="1:16" ht="15.75" customHeight="1">
      <c r="A25" s="136"/>
      <c r="B25" s="136"/>
      <c r="C25" s="136"/>
      <c r="D25" s="44" t="str">
        <f>ИТОГО!$K$7</f>
        <v>31 000-80 000</v>
      </c>
      <c r="E25" s="54">
        <f>E24*(1-ИТОГО!$L$7)</f>
        <v>7766.79</v>
      </c>
      <c r="F25" s="132"/>
      <c r="G25" s="132"/>
      <c r="H25" s="87"/>
      <c r="I25" s="90" t="s">
        <v>101</v>
      </c>
      <c r="J25" s="87"/>
      <c r="K25" s="87"/>
      <c r="L25" s="87"/>
      <c r="M25" s="87"/>
      <c r="N25" s="87"/>
    </row>
    <row r="26" spans="1:16" ht="15.75" customHeight="1">
      <c r="A26" s="136"/>
      <c r="B26" s="136"/>
      <c r="C26" s="136"/>
      <c r="D26" s="44" t="str">
        <f>ИТОГО!$K$8</f>
        <v>81 000-150 000</v>
      </c>
      <c r="E26" s="54">
        <f>E24*(1-ИТОГО!$L$8)</f>
        <v>7446.5099999999993</v>
      </c>
      <c r="F26" s="132"/>
      <c r="G26" s="132"/>
      <c r="H26" s="84" t="s">
        <v>84</v>
      </c>
      <c r="I26" s="84" t="s">
        <v>74</v>
      </c>
      <c r="J26" s="84" t="s">
        <v>86</v>
      </c>
      <c r="K26" s="84" t="s">
        <v>87</v>
      </c>
      <c r="L26" s="84" t="s">
        <v>88</v>
      </c>
      <c r="M26" s="84" t="s">
        <v>102</v>
      </c>
      <c r="N26" s="87"/>
    </row>
    <row r="27" spans="1:16" ht="15.75" customHeight="1">
      <c r="A27" s="136"/>
      <c r="B27" s="136"/>
      <c r="C27" s="136"/>
      <c r="D27" s="44" t="str">
        <f>ИТОГО!$K$9</f>
        <v>151 000-300 000</v>
      </c>
      <c r="E27" s="54">
        <f>E24*(1-ИТОГО!$L$9)</f>
        <v>7206.3</v>
      </c>
      <c r="F27" s="132"/>
      <c r="G27" s="132"/>
      <c r="H27" s="84">
        <v>1</v>
      </c>
      <c r="I27" s="84" t="s">
        <v>190</v>
      </c>
      <c r="J27" s="84" t="s">
        <v>202</v>
      </c>
      <c r="K27" s="84" t="s">
        <v>177</v>
      </c>
      <c r="L27" s="84" t="s">
        <v>141</v>
      </c>
      <c r="M27" s="85">
        <v>1.7</v>
      </c>
      <c r="N27" s="87"/>
    </row>
    <row r="28" spans="1:16" ht="15.75" customHeight="1">
      <c r="A28" s="136"/>
      <c r="B28" s="136"/>
      <c r="C28" s="136"/>
      <c r="D28" s="44" t="str">
        <f>ИТОГО!$K$10</f>
        <v>301 000-450 000</v>
      </c>
      <c r="E28" s="54">
        <f>E24*(1-ИТОГО!$L$10)</f>
        <v>6966.09</v>
      </c>
      <c r="F28" s="132"/>
      <c r="G28" s="132"/>
      <c r="H28" s="84">
        <v>2</v>
      </c>
      <c r="I28" s="84" t="s">
        <v>191</v>
      </c>
      <c r="J28" s="84" t="s">
        <v>106</v>
      </c>
      <c r="K28" s="84" t="s">
        <v>109</v>
      </c>
      <c r="L28" s="84" t="s">
        <v>203</v>
      </c>
      <c r="M28" s="85">
        <v>2.1</v>
      </c>
      <c r="N28" s="87"/>
    </row>
    <row r="29" spans="1:16" ht="15.75" customHeight="1">
      <c r="A29" s="136"/>
      <c r="B29" s="136"/>
      <c r="C29" s="136"/>
      <c r="D29" s="44" t="str">
        <f>ИТОГО!$K$11</f>
        <v>451 000-600 000</v>
      </c>
      <c r="E29" s="54">
        <f>E24*(1-ИТОГО!$L$11)</f>
        <v>6805.95</v>
      </c>
      <c r="F29" s="132"/>
      <c r="G29" s="132"/>
      <c r="H29" s="84">
        <v>3</v>
      </c>
      <c r="I29" s="84" t="s">
        <v>192</v>
      </c>
      <c r="J29" s="84" t="s">
        <v>106</v>
      </c>
      <c r="K29" s="84" t="s">
        <v>109</v>
      </c>
      <c r="L29" s="84" t="s">
        <v>204</v>
      </c>
      <c r="M29" s="85">
        <v>2.6</v>
      </c>
      <c r="N29" s="87"/>
    </row>
    <row r="30" spans="1:16" ht="15.75" customHeight="1">
      <c r="A30" s="136"/>
      <c r="B30" s="136"/>
      <c r="C30" s="136"/>
      <c r="D30" s="44" t="str">
        <f>ИТОГО!$K$12</f>
        <v>601 000 и выше</v>
      </c>
      <c r="E30" s="54">
        <f>E24*(1-ИТОГО!$L$12)</f>
        <v>6645.8099999999995</v>
      </c>
      <c r="F30" s="132"/>
      <c r="G30" s="132"/>
      <c r="H30" s="84">
        <v>4</v>
      </c>
      <c r="I30" s="84" t="s">
        <v>193</v>
      </c>
      <c r="J30" s="84" t="s">
        <v>106</v>
      </c>
      <c r="K30" s="84" t="s">
        <v>109</v>
      </c>
      <c r="L30" s="84" t="s">
        <v>205</v>
      </c>
      <c r="M30" s="85">
        <v>2.9</v>
      </c>
      <c r="N30" s="87"/>
    </row>
    <row r="31" spans="1:16" ht="15.75" customHeight="1">
      <c r="A31" s="136">
        <v>5</v>
      </c>
      <c r="B31" s="136"/>
      <c r="C31" s="137" t="s">
        <v>194</v>
      </c>
      <c r="D31" s="73" t="str">
        <f>ИТОГО!$K$6</f>
        <v>0-30 000</v>
      </c>
      <c r="E31" s="46">
        <v>8690</v>
      </c>
      <c r="F31" s="132"/>
      <c r="G31" s="133">
        <f>E31*F31</f>
        <v>0</v>
      </c>
      <c r="H31" s="84">
        <v>5</v>
      </c>
      <c r="I31" s="84" t="s">
        <v>194</v>
      </c>
      <c r="J31" s="84" t="s">
        <v>184</v>
      </c>
      <c r="K31" s="84" t="s">
        <v>185</v>
      </c>
      <c r="L31" s="84" t="s">
        <v>106</v>
      </c>
      <c r="M31" s="85">
        <v>3.8</v>
      </c>
      <c r="N31" s="87"/>
    </row>
    <row r="32" spans="1:16" ht="15.75" customHeight="1">
      <c r="A32" s="136"/>
      <c r="B32" s="136"/>
      <c r="C32" s="136"/>
      <c r="D32" s="44" t="str">
        <f>ИТОГО!$K$7</f>
        <v>31 000-80 000</v>
      </c>
      <c r="E32" s="54">
        <f>E31*(1-ИТОГО!$L$7)</f>
        <v>8429.2999999999993</v>
      </c>
      <c r="F32" s="132"/>
      <c r="G32" s="132"/>
      <c r="H32" s="95">
        <v>6</v>
      </c>
      <c r="I32" s="95" t="s">
        <v>195</v>
      </c>
      <c r="J32" s="88" t="s">
        <v>184</v>
      </c>
      <c r="K32" s="88" t="s">
        <v>185</v>
      </c>
      <c r="L32" s="88" t="s">
        <v>206</v>
      </c>
      <c r="M32" s="86">
        <v>4.5999999999999996</v>
      </c>
      <c r="N32" s="87"/>
    </row>
    <row r="33" spans="1:14" ht="15.75" customHeight="1">
      <c r="A33" s="136"/>
      <c r="B33" s="136"/>
      <c r="C33" s="136"/>
      <c r="D33" s="44" t="str">
        <f>ИТОГО!$K$8</f>
        <v>81 000-150 000</v>
      </c>
      <c r="E33" s="54">
        <f>E31*(1-ИТОГО!$L$8)</f>
        <v>8081.7</v>
      </c>
      <c r="F33" s="132"/>
      <c r="G33" s="132"/>
      <c r="H33" s="88">
        <v>7</v>
      </c>
      <c r="I33" s="88" t="s">
        <v>196</v>
      </c>
      <c r="J33" s="88" t="s">
        <v>184</v>
      </c>
      <c r="K33" s="88" t="s">
        <v>185</v>
      </c>
      <c r="L33" s="88" t="s">
        <v>207</v>
      </c>
      <c r="M33" s="91">
        <v>5</v>
      </c>
      <c r="N33" s="87"/>
    </row>
    <row r="34" spans="1:14" ht="15.75" customHeight="1">
      <c r="A34" s="136"/>
      <c r="B34" s="136"/>
      <c r="C34" s="136"/>
      <c r="D34" s="44" t="str">
        <f>ИТОГО!$K$9</f>
        <v>151 000-300 000</v>
      </c>
      <c r="E34" s="54">
        <f>E31*(1-ИТОГО!$L$9)</f>
        <v>7821</v>
      </c>
      <c r="F34" s="132"/>
      <c r="G34" s="132"/>
      <c r="H34" s="87"/>
      <c r="I34" s="90" t="s">
        <v>101</v>
      </c>
      <c r="J34" s="87"/>
      <c r="K34" s="87"/>
      <c r="L34" s="87"/>
      <c r="M34" s="87"/>
      <c r="N34" s="87"/>
    </row>
    <row r="35" spans="1:14" ht="15.75" customHeight="1">
      <c r="A35" s="136"/>
      <c r="B35" s="136"/>
      <c r="C35" s="136"/>
      <c r="D35" s="44" t="str">
        <f>ИТОГО!$K$10</f>
        <v>301 000-450 000</v>
      </c>
      <c r="E35" s="54">
        <f>E31*(1-ИТОГО!$L$10)</f>
        <v>7560.3</v>
      </c>
      <c r="F35" s="132"/>
      <c r="G35" s="132"/>
      <c r="H35" s="84" t="s">
        <v>84</v>
      </c>
      <c r="I35" s="84" t="s">
        <v>74</v>
      </c>
      <c r="J35" s="84" t="s">
        <v>86</v>
      </c>
      <c r="K35" s="84" t="s">
        <v>87</v>
      </c>
      <c r="L35" s="84" t="s">
        <v>88</v>
      </c>
      <c r="M35" s="84" t="s">
        <v>102</v>
      </c>
      <c r="N35" s="87"/>
    </row>
    <row r="36" spans="1:14" ht="15.75" customHeight="1">
      <c r="A36" s="136"/>
      <c r="B36" s="136"/>
      <c r="C36" s="136"/>
      <c r="D36" s="44" t="str">
        <f>ИТОГО!$K$11</f>
        <v>451 000-600 000</v>
      </c>
      <c r="E36" s="54">
        <f>E31*(1-ИТОГО!$L$11)</f>
        <v>7386.5</v>
      </c>
      <c r="F36" s="132"/>
      <c r="G36" s="132"/>
      <c r="H36" s="84">
        <v>1</v>
      </c>
      <c r="I36" s="84" t="s">
        <v>197</v>
      </c>
      <c r="J36" s="84" t="s">
        <v>202</v>
      </c>
      <c r="K36" s="84" t="s">
        <v>177</v>
      </c>
      <c r="L36" s="84" t="s">
        <v>144</v>
      </c>
      <c r="M36" s="85">
        <v>2.1</v>
      </c>
      <c r="N36" s="87"/>
    </row>
    <row r="37" spans="1:14" ht="15.75" customHeight="1">
      <c r="A37" s="136"/>
      <c r="B37" s="136"/>
      <c r="C37" s="136"/>
      <c r="D37" s="44" t="str">
        <f>ИТОГО!$K$12</f>
        <v>601 000 и выше</v>
      </c>
      <c r="E37" s="54">
        <f>E31*(1-ИТОГО!$L$12)</f>
        <v>7212.7</v>
      </c>
      <c r="F37" s="132"/>
      <c r="G37" s="132"/>
      <c r="H37" s="84">
        <v>2</v>
      </c>
      <c r="I37" s="84" t="s">
        <v>198</v>
      </c>
      <c r="J37" s="84" t="s">
        <v>106</v>
      </c>
      <c r="K37" s="84" t="s">
        <v>109</v>
      </c>
      <c r="L37" s="84" t="s">
        <v>186</v>
      </c>
      <c r="M37" s="85">
        <v>3</v>
      </c>
      <c r="N37" s="87"/>
    </row>
    <row r="38" spans="1:14" ht="15.75" customHeight="1">
      <c r="A38" s="136">
        <v>6</v>
      </c>
      <c r="B38" s="136"/>
      <c r="C38" s="137" t="s">
        <v>195</v>
      </c>
      <c r="D38" s="73" t="str">
        <f>ИТОГО!$K$6</f>
        <v>0-30 000</v>
      </c>
      <c r="E38" s="46">
        <v>13126</v>
      </c>
      <c r="F38" s="132"/>
      <c r="G38" s="133">
        <f>E38*F38</f>
        <v>0</v>
      </c>
      <c r="H38" s="84">
        <v>3</v>
      </c>
      <c r="I38" s="84" t="s">
        <v>199</v>
      </c>
      <c r="J38" s="84" t="s">
        <v>106</v>
      </c>
      <c r="K38" s="84" t="s">
        <v>109</v>
      </c>
      <c r="L38" s="84" t="s">
        <v>115</v>
      </c>
      <c r="M38" s="85">
        <v>3.6</v>
      </c>
      <c r="N38" s="87"/>
    </row>
    <row r="39" spans="1:14" ht="15.75" customHeight="1">
      <c r="A39" s="136"/>
      <c r="B39" s="136"/>
      <c r="C39" s="136"/>
      <c r="D39" s="44" t="str">
        <f>ИТОГО!$K$7</f>
        <v>31 000-80 000</v>
      </c>
      <c r="E39" s="54">
        <f>E38*(1-ИТОГО!$L$7)</f>
        <v>12732.22</v>
      </c>
      <c r="F39" s="132"/>
      <c r="G39" s="132"/>
      <c r="H39" s="84">
        <v>4</v>
      </c>
      <c r="I39" s="84" t="s">
        <v>200</v>
      </c>
      <c r="J39" s="84" t="s">
        <v>106</v>
      </c>
      <c r="K39" s="84" t="s">
        <v>109</v>
      </c>
      <c r="L39" s="84" t="s">
        <v>208</v>
      </c>
      <c r="M39" s="85">
        <v>3.8</v>
      </c>
      <c r="N39" s="87"/>
    </row>
    <row r="40" spans="1:14" ht="15.75" customHeight="1">
      <c r="A40" s="136"/>
      <c r="B40" s="136"/>
      <c r="C40" s="136"/>
      <c r="D40" s="44" t="str">
        <f>ИТОГО!$K$8</f>
        <v>81 000-150 000</v>
      </c>
      <c r="E40" s="54">
        <f>E38*(1-ИТОГО!$L$8)</f>
        <v>12207.179999999998</v>
      </c>
      <c r="F40" s="132"/>
      <c r="G40" s="132"/>
      <c r="H40" s="84">
        <v>5</v>
      </c>
      <c r="I40" s="84" t="s">
        <v>201</v>
      </c>
      <c r="J40" s="84" t="s">
        <v>184</v>
      </c>
      <c r="K40" s="84" t="s">
        <v>185</v>
      </c>
      <c r="L40" s="84" t="s">
        <v>118</v>
      </c>
      <c r="M40" s="85">
        <v>4.5999999999999996</v>
      </c>
      <c r="N40" s="87"/>
    </row>
    <row r="41" spans="1:14" ht="15.75" customHeight="1">
      <c r="A41" s="136"/>
      <c r="B41" s="136"/>
      <c r="C41" s="136"/>
      <c r="D41" s="44" t="str">
        <f>ИТОГО!$K$9</f>
        <v>151 000-300 000</v>
      </c>
      <c r="E41" s="54">
        <f>E38*(1-ИТОГО!$L$9)</f>
        <v>11813.4</v>
      </c>
      <c r="F41" s="132"/>
      <c r="G41" s="132"/>
    </row>
    <row r="42" spans="1:14" ht="15.75" customHeight="1">
      <c r="A42" s="136"/>
      <c r="B42" s="136"/>
      <c r="C42" s="136"/>
      <c r="D42" s="44" t="str">
        <f>ИТОГО!$K$10</f>
        <v>301 000-450 000</v>
      </c>
      <c r="E42" s="54">
        <f>E38*(1-ИТОГО!$L$10)</f>
        <v>11419.62</v>
      </c>
      <c r="F42" s="132"/>
      <c r="G42" s="132"/>
    </row>
    <row r="43" spans="1:14" ht="15.75" customHeight="1">
      <c r="A43" s="136"/>
      <c r="B43" s="136"/>
      <c r="C43" s="136"/>
      <c r="D43" s="44" t="str">
        <f>ИТОГО!$K$11</f>
        <v>451 000-600 000</v>
      </c>
      <c r="E43" s="54">
        <f>E38*(1-ИТОГО!$L$11)</f>
        <v>11157.1</v>
      </c>
      <c r="F43" s="132"/>
      <c r="G43" s="132"/>
    </row>
    <row r="44" spans="1:14" ht="15.75" customHeight="1">
      <c r="A44" s="136"/>
      <c r="B44" s="136"/>
      <c r="C44" s="136"/>
      <c r="D44" s="44" t="str">
        <f>ИТОГО!$K$12</f>
        <v>601 000 и выше</v>
      </c>
      <c r="E44" s="54">
        <f>E38*(1-ИТОГО!$L$12)</f>
        <v>10894.58</v>
      </c>
      <c r="F44" s="132"/>
      <c r="G44" s="132"/>
    </row>
    <row r="45" spans="1:14" ht="15.75" customHeight="1">
      <c r="A45" s="146">
        <v>7</v>
      </c>
      <c r="B45" s="146"/>
      <c r="C45" s="147" t="s">
        <v>196</v>
      </c>
      <c r="D45" s="73" t="str">
        <f>ИТОГО!$K$6</f>
        <v>0-30 000</v>
      </c>
      <c r="E45" s="46">
        <v>14150</v>
      </c>
      <c r="F45" s="148"/>
      <c r="G45" s="149">
        <f>E45*F45</f>
        <v>0</v>
      </c>
    </row>
    <row r="46" spans="1:14" ht="15.75" customHeight="1">
      <c r="A46" s="146"/>
      <c r="B46" s="146"/>
      <c r="C46" s="146"/>
      <c r="D46" s="44" t="str">
        <f>ИТОГО!$K$7</f>
        <v>31 000-80 000</v>
      </c>
      <c r="E46" s="54">
        <f>E45*(1-ИТОГО!$L$7)</f>
        <v>13725.5</v>
      </c>
      <c r="F46" s="148"/>
      <c r="G46" s="148"/>
    </row>
    <row r="47" spans="1:14" ht="15.75" customHeight="1">
      <c r="A47" s="146"/>
      <c r="B47" s="146"/>
      <c r="C47" s="146"/>
      <c r="D47" s="44" t="str">
        <f>ИТОГО!$K$8</f>
        <v>81 000-150 000</v>
      </c>
      <c r="E47" s="54">
        <f>E45*(1-ИТОГО!$L$8)</f>
        <v>13159.5</v>
      </c>
      <c r="F47" s="148"/>
      <c r="G47" s="148"/>
    </row>
    <row r="48" spans="1:14" ht="15.75" customHeight="1">
      <c r="A48" s="146"/>
      <c r="B48" s="146"/>
      <c r="C48" s="146"/>
      <c r="D48" s="44" t="str">
        <f>ИТОГО!$K$9</f>
        <v>151 000-300 000</v>
      </c>
      <c r="E48" s="54">
        <f>E45*(1-ИТОГО!$L$9)</f>
        <v>12735</v>
      </c>
      <c r="F48" s="148"/>
      <c r="G48" s="148"/>
    </row>
    <row r="49" spans="1:7" ht="15.75" customHeight="1">
      <c r="A49" s="146"/>
      <c r="B49" s="146"/>
      <c r="C49" s="146"/>
      <c r="D49" s="44" t="str">
        <f>ИТОГО!$K$10</f>
        <v>301 000-450 000</v>
      </c>
      <c r="E49" s="54">
        <f>E45*(1-ИТОГО!$L$10)</f>
        <v>12310.5</v>
      </c>
      <c r="F49" s="148"/>
      <c r="G49" s="148"/>
    </row>
    <row r="50" spans="1:7" ht="15.75" customHeight="1">
      <c r="A50" s="146"/>
      <c r="B50" s="146"/>
      <c r="C50" s="146"/>
      <c r="D50" s="44" t="str">
        <f>ИТОГО!$K$11</f>
        <v>451 000-600 000</v>
      </c>
      <c r="E50" s="54">
        <f>E45*(1-ИТОГО!$L$11)</f>
        <v>12027.5</v>
      </c>
      <c r="F50" s="148"/>
      <c r="G50" s="148"/>
    </row>
    <row r="51" spans="1:7" ht="15.75" customHeight="1">
      <c r="A51" s="146"/>
      <c r="B51" s="146"/>
      <c r="C51" s="146"/>
      <c r="D51" s="97" t="str">
        <f>ИТОГО!$K$12</f>
        <v>601 000 и выше</v>
      </c>
      <c r="E51" s="98">
        <f>E45*(1-ИТОГО!$L$12)</f>
        <v>11744.5</v>
      </c>
      <c r="F51" s="148"/>
      <c r="G51" s="148"/>
    </row>
    <row r="52" spans="1:7" ht="15.75" customHeight="1">
      <c r="A52" s="136">
        <v>8</v>
      </c>
      <c r="B52" s="136"/>
      <c r="C52" s="137" t="s">
        <v>209</v>
      </c>
      <c r="D52" s="73" t="str">
        <f>ИТОГО!$K$6</f>
        <v>0-30 000</v>
      </c>
      <c r="E52" s="46">
        <v>15050</v>
      </c>
      <c r="F52" s="132"/>
      <c r="G52" s="133">
        <f>E52*F52</f>
        <v>0</v>
      </c>
    </row>
    <row r="53" spans="1:7" ht="15.75" customHeight="1">
      <c r="A53" s="136"/>
      <c r="B53" s="136"/>
      <c r="C53" s="136"/>
      <c r="D53" s="44" t="str">
        <f>ИТОГО!$K$7</f>
        <v>31 000-80 000</v>
      </c>
      <c r="E53" s="54">
        <f>E52*(1-ИТОГО!$L$7)</f>
        <v>14598.5</v>
      </c>
      <c r="F53" s="132"/>
      <c r="G53" s="132"/>
    </row>
    <row r="54" spans="1:7" ht="15.75" customHeight="1">
      <c r="A54" s="136"/>
      <c r="B54" s="136"/>
      <c r="C54" s="136"/>
      <c r="D54" s="44" t="str">
        <f>ИТОГО!$K$8</f>
        <v>81 000-150 000</v>
      </c>
      <c r="E54" s="54">
        <f>E52*(1-ИТОГО!$L$8)</f>
        <v>13996.499999999998</v>
      </c>
      <c r="F54" s="132"/>
      <c r="G54" s="132"/>
    </row>
    <row r="55" spans="1:7" ht="15.75" customHeight="1">
      <c r="A55" s="136"/>
      <c r="B55" s="136"/>
      <c r="C55" s="136"/>
      <c r="D55" s="44" t="str">
        <f>ИТОГО!$K$9</f>
        <v>151 000-300 000</v>
      </c>
      <c r="E55" s="54">
        <f>E52*(1-ИТОГО!$L$9)</f>
        <v>13545</v>
      </c>
      <c r="F55" s="132"/>
      <c r="G55" s="132"/>
    </row>
    <row r="56" spans="1:7" ht="15.75" customHeight="1">
      <c r="A56" s="136"/>
      <c r="B56" s="136"/>
      <c r="C56" s="136"/>
      <c r="D56" s="44" t="str">
        <f>ИТОГО!$K$10</f>
        <v>301 000-450 000</v>
      </c>
      <c r="E56" s="54">
        <f>E52*(1-ИТОГО!$L$10)</f>
        <v>13093.5</v>
      </c>
      <c r="F56" s="132"/>
      <c r="G56" s="132"/>
    </row>
    <row r="57" spans="1:7" ht="15.75" customHeight="1">
      <c r="A57" s="136"/>
      <c r="B57" s="136"/>
      <c r="C57" s="136"/>
      <c r="D57" s="44" t="str">
        <f>ИТОГО!$K$11</f>
        <v>451 000-600 000</v>
      </c>
      <c r="E57" s="54">
        <f>E52*(1-ИТОГО!$L$11)</f>
        <v>12792.5</v>
      </c>
      <c r="F57" s="132"/>
      <c r="G57" s="132"/>
    </row>
    <row r="58" spans="1:7" ht="15.75" customHeight="1">
      <c r="A58" s="136"/>
      <c r="B58" s="136"/>
      <c r="C58" s="136"/>
      <c r="D58" s="44" t="str">
        <f>ИТОГО!$K$12</f>
        <v>601 000 и выше</v>
      </c>
      <c r="E58" s="54">
        <f>E52*(1-ИТОГО!$L$12)</f>
        <v>12491.5</v>
      </c>
      <c r="F58" s="132"/>
      <c r="G58" s="132"/>
    </row>
    <row r="59" spans="1:7" ht="15.75" customHeight="1">
      <c r="A59" s="146">
        <v>9</v>
      </c>
      <c r="B59" s="146"/>
      <c r="C59" s="147" t="s">
        <v>210</v>
      </c>
      <c r="D59" s="73" t="str">
        <f>ИТОГО!$K$6</f>
        <v>0-30 000</v>
      </c>
      <c r="E59" s="46">
        <v>16200</v>
      </c>
      <c r="F59" s="148"/>
      <c r="G59" s="149">
        <f>E59*F59</f>
        <v>0</v>
      </c>
    </row>
    <row r="60" spans="1:7" ht="15.75" customHeight="1">
      <c r="A60" s="146"/>
      <c r="B60" s="146"/>
      <c r="C60" s="146"/>
      <c r="D60" s="44" t="str">
        <f>ИТОГО!$K$7</f>
        <v>31 000-80 000</v>
      </c>
      <c r="E60" s="54">
        <f>E59*(1-ИТОГО!$L$7)</f>
        <v>15714</v>
      </c>
      <c r="F60" s="148"/>
      <c r="G60" s="148"/>
    </row>
    <row r="61" spans="1:7" ht="15.75" customHeight="1">
      <c r="A61" s="146"/>
      <c r="B61" s="146"/>
      <c r="C61" s="146"/>
      <c r="D61" s="44" t="str">
        <f>ИТОГО!$K$8</f>
        <v>81 000-150 000</v>
      </c>
      <c r="E61" s="54">
        <f>E59*(1-ИТОГО!$L$8)</f>
        <v>15065.999999999998</v>
      </c>
      <c r="F61" s="148"/>
      <c r="G61" s="148"/>
    </row>
    <row r="62" spans="1:7" ht="15.75" customHeight="1">
      <c r="A62" s="146"/>
      <c r="B62" s="146"/>
      <c r="C62" s="146"/>
      <c r="D62" s="44" t="str">
        <f>ИТОГО!$K$9</f>
        <v>151 000-300 000</v>
      </c>
      <c r="E62" s="54">
        <f>E59*(1-ИТОГО!$L$9)</f>
        <v>14580</v>
      </c>
      <c r="F62" s="148"/>
      <c r="G62" s="148"/>
    </row>
    <row r="63" spans="1:7" ht="15.75" customHeight="1">
      <c r="A63" s="146"/>
      <c r="B63" s="146"/>
      <c r="C63" s="146"/>
      <c r="D63" s="44" t="str">
        <f>ИТОГО!$K$10</f>
        <v>301 000-450 000</v>
      </c>
      <c r="E63" s="54">
        <f>E59*(1-ИТОГО!$L$10)</f>
        <v>14094</v>
      </c>
      <c r="F63" s="148"/>
      <c r="G63" s="148"/>
    </row>
    <row r="64" spans="1:7" ht="15.75" customHeight="1">
      <c r="A64" s="146"/>
      <c r="B64" s="146"/>
      <c r="C64" s="146"/>
      <c r="D64" s="44" t="str">
        <f>ИТОГО!$K$11</f>
        <v>451 000-600 000</v>
      </c>
      <c r="E64" s="54">
        <f>E59*(1-ИТОГО!$L$11)</f>
        <v>13770</v>
      </c>
      <c r="F64" s="148"/>
      <c r="G64" s="148"/>
    </row>
    <row r="65" spans="1:7" ht="15.75" customHeight="1">
      <c r="A65" s="146"/>
      <c r="B65" s="146"/>
      <c r="C65" s="146"/>
      <c r="D65" s="97" t="str">
        <f>ИТОГО!$K$12</f>
        <v>601 000 и выше</v>
      </c>
      <c r="E65" s="98">
        <f>E59*(1-ИТОГО!$L$12)</f>
        <v>13446</v>
      </c>
      <c r="F65" s="148"/>
      <c r="G65" s="148"/>
    </row>
    <row r="66" spans="1:7" ht="15.75" customHeight="1">
      <c r="A66" s="136">
        <v>10</v>
      </c>
      <c r="B66" s="136"/>
      <c r="C66" s="137" t="s">
        <v>211</v>
      </c>
      <c r="D66" s="73" t="str">
        <f>ИТОГО!$K$6</f>
        <v>0-30 000</v>
      </c>
      <c r="E66" s="46">
        <v>17450</v>
      </c>
      <c r="F66" s="132"/>
      <c r="G66" s="133">
        <f>E66*F66</f>
        <v>0</v>
      </c>
    </row>
    <row r="67" spans="1:7" ht="15.75" customHeight="1">
      <c r="A67" s="136"/>
      <c r="B67" s="136"/>
      <c r="C67" s="136"/>
      <c r="D67" s="44" t="str">
        <f>ИТОГО!$K$7</f>
        <v>31 000-80 000</v>
      </c>
      <c r="E67" s="54">
        <f>E66*(1-ИТОГО!$L$7)</f>
        <v>16926.5</v>
      </c>
      <c r="F67" s="132"/>
      <c r="G67" s="132"/>
    </row>
    <row r="68" spans="1:7" ht="15.75" customHeight="1">
      <c r="A68" s="136"/>
      <c r="B68" s="136"/>
      <c r="C68" s="136"/>
      <c r="D68" s="44" t="str">
        <f>ИТОГО!$K$8</f>
        <v>81 000-150 000</v>
      </c>
      <c r="E68" s="54">
        <f>E66*(1-ИТОГО!$L$8)</f>
        <v>16228.499999999998</v>
      </c>
      <c r="F68" s="132"/>
      <c r="G68" s="132"/>
    </row>
    <row r="69" spans="1:7" ht="15.75" customHeight="1">
      <c r="A69" s="136"/>
      <c r="B69" s="136"/>
      <c r="C69" s="136"/>
      <c r="D69" s="44" t="str">
        <f>ИТОГО!$K$9</f>
        <v>151 000-300 000</v>
      </c>
      <c r="E69" s="54">
        <f>E66*(1-ИТОГО!$L$9)</f>
        <v>15705</v>
      </c>
      <c r="F69" s="132"/>
      <c r="G69" s="132"/>
    </row>
    <row r="70" spans="1:7" ht="15.75" customHeight="1">
      <c r="A70" s="136"/>
      <c r="B70" s="136"/>
      <c r="C70" s="136"/>
      <c r="D70" s="44" t="str">
        <f>ИТОГО!$K$10</f>
        <v>301 000-450 000</v>
      </c>
      <c r="E70" s="54">
        <f>E66*(1-ИТОГО!$L$10)</f>
        <v>15181.5</v>
      </c>
      <c r="F70" s="132"/>
      <c r="G70" s="132"/>
    </row>
    <row r="71" spans="1:7" ht="15.75" customHeight="1">
      <c r="A71" s="136"/>
      <c r="B71" s="136"/>
      <c r="C71" s="136"/>
      <c r="D71" s="44" t="str">
        <f>ИТОГО!$K$11</f>
        <v>451 000-600 000</v>
      </c>
      <c r="E71" s="54">
        <f>E66*(1-ИТОГО!$L$11)</f>
        <v>14832.5</v>
      </c>
      <c r="F71" s="132"/>
      <c r="G71" s="132"/>
    </row>
    <row r="72" spans="1:7" ht="15.75" customHeight="1">
      <c r="A72" s="136"/>
      <c r="B72" s="136"/>
      <c r="C72" s="136"/>
      <c r="D72" s="44" t="str">
        <f>ИТОГО!$K$12</f>
        <v>601 000 и выше</v>
      </c>
      <c r="E72" s="54">
        <f>E66*(1-ИТОГО!$L$12)</f>
        <v>14483.5</v>
      </c>
      <c r="F72" s="132"/>
      <c r="G72" s="132"/>
    </row>
    <row r="73" spans="1:7">
      <c r="A73" s="92"/>
      <c r="B73" s="92"/>
      <c r="C73" s="92"/>
      <c r="D73" s="92"/>
      <c r="E73" s="92"/>
    </row>
    <row r="74" spans="1:7" ht="32.25" customHeight="1">
      <c r="A74" s="142" t="s">
        <v>212</v>
      </c>
      <c r="B74" s="142"/>
      <c r="C74" s="142"/>
      <c r="D74" s="142"/>
      <c r="E74" s="142"/>
    </row>
    <row r="75" spans="1:7" ht="15.75" customHeight="1">
      <c r="A75" s="63" t="s">
        <v>84</v>
      </c>
      <c r="B75" s="63" t="s">
        <v>73</v>
      </c>
      <c r="C75" s="63" t="s">
        <v>74</v>
      </c>
      <c r="D75" s="37" t="s">
        <v>75</v>
      </c>
      <c r="E75" s="63" t="s">
        <v>76</v>
      </c>
      <c r="F75" s="39" t="s">
        <v>77</v>
      </c>
      <c r="G75" s="40" t="s">
        <v>78</v>
      </c>
    </row>
    <row r="76" spans="1:7" ht="15.75" customHeight="1">
      <c r="A76" s="136">
        <v>1</v>
      </c>
      <c r="B76" s="136"/>
      <c r="C76" s="137" t="s">
        <v>197</v>
      </c>
      <c r="D76" s="73" t="str">
        <f>ИТОГО!$K$6</f>
        <v>0-30 000</v>
      </c>
      <c r="E76" s="46">
        <v>6180</v>
      </c>
      <c r="F76" s="132"/>
      <c r="G76" s="133">
        <f>E76*F76</f>
        <v>0</v>
      </c>
    </row>
    <row r="77" spans="1:7" ht="15.75" customHeight="1">
      <c r="A77" s="136"/>
      <c r="B77" s="136"/>
      <c r="C77" s="136"/>
      <c r="D77" s="44" t="str">
        <f>ИТОГО!$K$7</f>
        <v>31 000-80 000</v>
      </c>
      <c r="E77" s="54">
        <f>E76*(1-ИТОГО!$L$7)</f>
        <v>5994.5999999999995</v>
      </c>
      <c r="F77" s="132"/>
      <c r="G77" s="132"/>
    </row>
    <row r="78" spans="1:7" ht="15.75" customHeight="1">
      <c r="A78" s="136"/>
      <c r="B78" s="136"/>
      <c r="C78" s="136"/>
      <c r="D78" s="44" t="str">
        <f>ИТОГО!$K$8</f>
        <v>81 000-150 000</v>
      </c>
      <c r="E78" s="54">
        <f>E76*(1-ИТОГО!$L$8)</f>
        <v>5747.4</v>
      </c>
      <c r="F78" s="132"/>
      <c r="G78" s="132"/>
    </row>
    <row r="79" spans="1:7" ht="15.75" customHeight="1">
      <c r="A79" s="136"/>
      <c r="B79" s="136"/>
      <c r="C79" s="136"/>
      <c r="D79" s="44" t="str">
        <f>ИТОГО!$K$9</f>
        <v>151 000-300 000</v>
      </c>
      <c r="E79" s="54">
        <f>E76*(1-ИТОГО!$L$9)</f>
        <v>5562</v>
      </c>
      <c r="F79" s="132"/>
      <c r="G79" s="132"/>
    </row>
    <row r="80" spans="1:7" ht="15.75" customHeight="1">
      <c r="A80" s="136"/>
      <c r="B80" s="136"/>
      <c r="C80" s="136"/>
      <c r="D80" s="44" t="str">
        <f>ИТОГО!$K$10</f>
        <v>301 000-450 000</v>
      </c>
      <c r="E80" s="54">
        <f>E76*(1-ИТОГО!$L$10)</f>
        <v>5376.6</v>
      </c>
      <c r="F80" s="132"/>
      <c r="G80" s="132"/>
    </row>
    <row r="81" spans="1:7" ht="15.75" customHeight="1">
      <c r="A81" s="136"/>
      <c r="B81" s="136"/>
      <c r="C81" s="136"/>
      <c r="D81" s="44" t="str">
        <f>ИТОГО!$K$11</f>
        <v>451 000-600 000</v>
      </c>
      <c r="E81" s="54">
        <f>E76*(1-ИТОГО!$L$11)</f>
        <v>5253</v>
      </c>
      <c r="F81" s="132"/>
      <c r="G81" s="132"/>
    </row>
    <row r="82" spans="1:7" ht="15.75" customHeight="1">
      <c r="A82" s="136"/>
      <c r="B82" s="136"/>
      <c r="C82" s="136"/>
      <c r="D82" s="44" t="str">
        <f>ИТОГО!$K$12</f>
        <v>601 000 и выше</v>
      </c>
      <c r="E82" s="54">
        <f>E76*(1-ИТОГО!$L$12)</f>
        <v>5129.3999999999996</v>
      </c>
      <c r="F82" s="132"/>
      <c r="G82" s="132"/>
    </row>
    <row r="83" spans="1:7" ht="15.75" customHeight="1">
      <c r="A83" s="136">
        <v>2</v>
      </c>
      <c r="B83" s="136"/>
      <c r="C83" s="137" t="s">
        <v>198</v>
      </c>
      <c r="D83" s="73" t="str">
        <f>ИТОГО!$K$6</f>
        <v>0-30 000</v>
      </c>
      <c r="E83" s="46">
        <v>6801</v>
      </c>
      <c r="F83" s="132"/>
      <c r="G83" s="133">
        <f>E83*F83</f>
        <v>0</v>
      </c>
    </row>
    <row r="84" spans="1:7" ht="15.75" customHeight="1">
      <c r="A84" s="136"/>
      <c r="B84" s="136"/>
      <c r="C84" s="136"/>
      <c r="D84" s="44" t="str">
        <f>ИТОГО!$K$7</f>
        <v>31 000-80 000</v>
      </c>
      <c r="E84" s="54">
        <f>E83*(1-ИТОГО!$L$7)</f>
        <v>6596.97</v>
      </c>
      <c r="F84" s="132"/>
      <c r="G84" s="132"/>
    </row>
    <row r="85" spans="1:7" ht="15.75" customHeight="1">
      <c r="A85" s="136"/>
      <c r="B85" s="136"/>
      <c r="C85" s="136"/>
      <c r="D85" s="44" t="str">
        <f>ИТОГО!$K$8</f>
        <v>81 000-150 000</v>
      </c>
      <c r="E85" s="54">
        <f>E83*(1-ИТОГО!$L$8)</f>
        <v>6324.9299999999994</v>
      </c>
      <c r="F85" s="132"/>
      <c r="G85" s="132"/>
    </row>
    <row r="86" spans="1:7" ht="15.75" customHeight="1">
      <c r="A86" s="136"/>
      <c r="B86" s="136"/>
      <c r="C86" s="136"/>
      <c r="D86" s="44" t="str">
        <f>ИТОГО!$K$9</f>
        <v>151 000-300 000</v>
      </c>
      <c r="E86" s="54">
        <f>E83*(1-ИТОГО!$L$9)</f>
        <v>6120.9000000000005</v>
      </c>
      <c r="F86" s="132"/>
      <c r="G86" s="132"/>
    </row>
    <row r="87" spans="1:7" ht="15.75" customHeight="1">
      <c r="A87" s="136"/>
      <c r="B87" s="136"/>
      <c r="C87" s="136"/>
      <c r="D87" s="44" t="str">
        <f>ИТОГО!$K$10</f>
        <v>301 000-450 000</v>
      </c>
      <c r="E87" s="54">
        <f>E83*(1-ИТОГО!$L$10)</f>
        <v>5916.87</v>
      </c>
      <c r="F87" s="132"/>
      <c r="G87" s="132"/>
    </row>
    <row r="88" spans="1:7" ht="15.75" customHeight="1">
      <c r="A88" s="136"/>
      <c r="B88" s="136"/>
      <c r="C88" s="136"/>
      <c r="D88" s="44" t="str">
        <f>ИТОГО!$K$11</f>
        <v>451 000-600 000</v>
      </c>
      <c r="E88" s="54">
        <f>E83*(1-ИТОГО!$L$11)</f>
        <v>5780.8499999999995</v>
      </c>
      <c r="F88" s="132"/>
      <c r="G88" s="132"/>
    </row>
    <row r="89" spans="1:7" ht="15.75" customHeight="1">
      <c r="A89" s="136"/>
      <c r="B89" s="136"/>
      <c r="C89" s="136"/>
      <c r="D89" s="44" t="str">
        <f>ИТОГО!$K$12</f>
        <v>601 000 и выше</v>
      </c>
      <c r="E89" s="54">
        <f>E83*(1-ИТОГО!$L$12)</f>
        <v>5644.83</v>
      </c>
      <c r="F89" s="132"/>
      <c r="G89" s="132"/>
    </row>
    <row r="90" spans="1:7" ht="15.75" customHeight="1">
      <c r="A90" s="136">
        <v>3</v>
      </c>
      <c r="B90" s="136"/>
      <c r="C90" s="137" t="s">
        <v>199</v>
      </c>
      <c r="D90" s="73" t="str">
        <f>ИТОГО!$K$6</f>
        <v>0-30 000</v>
      </c>
      <c r="E90" s="46">
        <v>7825</v>
      </c>
      <c r="F90" s="132"/>
      <c r="G90" s="133">
        <f>E90*F90</f>
        <v>0</v>
      </c>
    </row>
    <row r="91" spans="1:7" ht="15.75" customHeight="1">
      <c r="A91" s="136"/>
      <c r="B91" s="136"/>
      <c r="C91" s="136"/>
      <c r="D91" s="44" t="str">
        <f>ИТОГО!$K$7</f>
        <v>31 000-80 000</v>
      </c>
      <c r="E91" s="54">
        <f>E90*(1-ИТОГО!$L$7)</f>
        <v>7590.25</v>
      </c>
      <c r="F91" s="132"/>
      <c r="G91" s="132"/>
    </row>
    <row r="92" spans="1:7" ht="15.75" customHeight="1">
      <c r="A92" s="136"/>
      <c r="B92" s="136"/>
      <c r="C92" s="136"/>
      <c r="D92" s="44" t="str">
        <f>ИТОГО!$K$8</f>
        <v>81 000-150 000</v>
      </c>
      <c r="E92" s="54">
        <f>E90*(1-ИТОГО!$L$8)</f>
        <v>7277.2499999999991</v>
      </c>
      <c r="F92" s="132"/>
      <c r="G92" s="132"/>
    </row>
    <row r="93" spans="1:7" ht="15.75" customHeight="1">
      <c r="A93" s="136"/>
      <c r="B93" s="136"/>
      <c r="C93" s="136"/>
      <c r="D93" s="44" t="str">
        <f>ИТОГО!$K$9</f>
        <v>151 000-300 000</v>
      </c>
      <c r="E93" s="54">
        <f>E90*(1-ИТОГО!$L$9)</f>
        <v>7042.5</v>
      </c>
      <c r="F93" s="132"/>
      <c r="G93" s="132"/>
    </row>
    <row r="94" spans="1:7" ht="15.75" customHeight="1">
      <c r="A94" s="136"/>
      <c r="B94" s="136"/>
      <c r="C94" s="136"/>
      <c r="D94" s="44" t="str">
        <f>ИТОГО!$K$10</f>
        <v>301 000-450 000</v>
      </c>
      <c r="E94" s="54">
        <f>E90*(1-ИТОГО!$L$10)</f>
        <v>6807.75</v>
      </c>
      <c r="F94" s="132"/>
      <c r="G94" s="132"/>
    </row>
    <row r="95" spans="1:7" ht="15.75" customHeight="1">
      <c r="A95" s="136"/>
      <c r="B95" s="136"/>
      <c r="C95" s="136"/>
      <c r="D95" s="44" t="str">
        <f>ИТОГО!$K$11</f>
        <v>451 000-600 000</v>
      </c>
      <c r="E95" s="54">
        <f>E90*(1-ИТОГО!$L$11)</f>
        <v>6651.25</v>
      </c>
      <c r="F95" s="132"/>
      <c r="G95" s="132"/>
    </row>
    <row r="96" spans="1:7" ht="15.75" customHeight="1">
      <c r="A96" s="136"/>
      <c r="B96" s="136"/>
      <c r="C96" s="136"/>
      <c r="D96" s="44" t="str">
        <f>ИТОГО!$K$12</f>
        <v>601 000 и выше</v>
      </c>
      <c r="E96" s="54">
        <f>E90*(1-ИТОГО!$L$12)</f>
        <v>6494.75</v>
      </c>
      <c r="F96" s="132"/>
      <c r="G96" s="132"/>
    </row>
    <row r="97" spans="1:7" ht="15.75" customHeight="1">
      <c r="A97" s="136">
        <v>4</v>
      </c>
      <c r="B97" s="136"/>
      <c r="C97" s="137" t="s">
        <v>200</v>
      </c>
      <c r="D97" s="73" t="str">
        <f>ИТОГО!$K$6</f>
        <v>0-30 000</v>
      </c>
      <c r="E97" s="46">
        <v>8507</v>
      </c>
      <c r="F97" s="132"/>
      <c r="G97" s="133">
        <f>E97*F97</f>
        <v>0</v>
      </c>
    </row>
    <row r="98" spans="1:7" ht="15.75" customHeight="1">
      <c r="A98" s="136"/>
      <c r="B98" s="136"/>
      <c r="C98" s="136"/>
      <c r="D98" s="44" t="str">
        <f>ИТОГО!$K$7</f>
        <v>31 000-80 000</v>
      </c>
      <c r="E98" s="54">
        <f>E97*(1-ИТОГО!$L$7)</f>
        <v>8251.7899999999991</v>
      </c>
      <c r="F98" s="132"/>
      <c r="G98" s="132"/>
    </row>
    <row r="99" spans="1:7" ht="15.75" customHeight="1">
      <c r="A99" s="136"/>
      <c r="B99" s="136"/>
      <c r="C99" s="136"/>
      <c r="D99" s="44" t="str">
        <f>ИТОГО!$K$8</f>
        <v>81 000-150 000</v>
      </c>
      <c r="E99" s="54">
        <f>E97*(1-ИТОГО!$L$8)</f>
        <v>7911.5099999999993</v>
      </c>
      <c r="F99" s="132"/>
      <c r="G99" s="132"/>
    </row>
    <row r="100" spans="1:7" ht="15.75" customHeight="1">
      <c r="A100" s="136"/>
      <c r="B100" s="136"/>
      <c r="C100" s="136"/>
      <c r="D100" s="44" t="str">
        <f>ИТОГО!$K$9</f>
        <v>151 000-300 000</v>
      </c>
      <c r="E100" s="54">
        <f>E97*(1-ИТОГО!$L$9)</f>
        <v>7656.3</v>
      </c>
      <c r="F100" s="132"/>
      <c r="G100" s="132"/>
    </row>
    <row r="101" spans="1:7" ht="15.75" customHeight="1">
      <c r="A101" s="136"/>
      <c r="B101" s="136"/>
      <c r="C101" s="136"/>
      <c r="D101" s="44" t="str">
        <f>ИТОГО!$K$10</f>
        <v>301 000-450 000</v>
      </c>
      <c r="E101" s="54">
        <f>E97*(1-ИТОГО!$L$10)</f>
        <v>7401.09</v>
      </c>
      <c r="F101" s="132"/>
      <c r="G101" s="132"/>
    </row>
    <row r="102" spans="1:7" ht="15.75" customHeight="1">
      <c r="A102" s="136"/>
      <c r="B102" s="136"/>
      <c r="C102" s="136"/>
      <c r="D102" s="44" t="str">
        <f>ИТОГО!$K$11</f>
        <v>451 000-600 000</v>
      </c>
      <c r="E102" s="54">
        <f>E97*(1-ИТОГО!$L$11)</f>
        <v>7230.95</v>
      </c>
      <c r="F102" s="132"/>
      <c r="G102" s="132"/>
    </row>
    <row r="103" spans="1:7" ht="15.75" customHeight="1">
      <c r="A103" s="136"/>
      <c r="B103" s="136"/>
      <c r="C103" s="136"/>
      <c r="D103" s="44" t="str">
        <f>ИТОГО!$K$12</f>
        <v>601 000 и выше</v>
      </c>
      <c r="E103" s="54">
        <f>E97*(1-ИТОГО!$L$12)</f>
        <v>7060.8099999999995</v>
      </c>
      <c r="F103" s="132"/>
      <c r="G103" s="132"/>
    </row>
    <row r="104" spans="1:7" ht="15.75" customHeight="1">
      <c r="A104" s="136">
        <v>5</v>
      </c>
      <c r="B104" s="136"/>
      <c r="C104" s="137" t="s">
        <v>201</v>
      </c>
      <c r="D104" s="73" t="str">
        <f>ИТОГО!$K$6</f>
        <v>0-30 000</v>
      </c>
      <c r="E104" s="46">
        <v>9190</v>
      </c>
      <c r="F104" s="132"/>
      <c r="G104" s="133">
        <f>E104*F104</f>
        <v>0</v>
      </c>
    </row>
    <row r="105" spans="1:7" ht="15.75" customHeight="1">
      <c r="A105" s="136"/>
      <c r="B105" s="136"/>
      <c r="C105" s="136"/>
      <c r="D105" s="44" t="str">
        <f>ИТОГО!$K$7</f>
        <v>31 000-80 000</v>
      </c>
      <c r="E105" s="54">
        <f>E104*(1-ИТОГО!$L$7)</f>
        <v>8914.2999999999993</v>
      </c>
      <c r="F105" s="132"/>
      <c r="G105" s="132"/>
    </row>
    <row r="106" spans="1:7" ht="15.75" customHeight="1">
      <c r="A106" s="136"/>
      <c r="B106" s="136"/>
      <c r="C106" s="136"/>
      <c r="D106" s="44" t="str">
        <f>ИТОГО!$K$8</f>
        <v>81 000-150 000</v>
      </c>
      <c r="E106" s="54">
        <f>E104*(1-ИТОГО!$L$8)</f>
        <v>8546.6999999999989</v>
      </c>
      <c r="F106" s="132"/>
      <c r="G106" s="132"/>
    </row>
    <row r="107" spans="1:7" ht="15.75" customHeight="1">
      <c r="A107" s="136"/>
      <c r="B107" s="136"/>
      <c r="C107" s="136"/>
      <c r="D107" s="44" t="str">
        <f>ИТОГО!$K$9</f>
        <v>151 000-300 000</v>
      </c>
      <c r="E107" s="54">
        <f>E104*(1-ИТОГО!$L$9)</f>
        <v>8271</v>
      </c>
      <c r="F107" s="132"/>
      <c r="G107" s="132"/>
    </row>
    <row r="108" spans="1:7" ht="15.75" customHeight="1">
      <c r="A108" s="136"/>
      <c r="B108" s="136"/>
      <c r="C108" s="136"/>
      <c r="D108" s="44" t="str">
        <f>ИТОГО!$K$10</f>
        <v>301 000-450 000</v>
      </c>
      <c r="E108" s="54">
        <f>E104*(1-ИТОГО!$L$10)</f>
        <v>7995.3</v>
      </c>
      <c r="F108" s="132"/>
      <c r="G108" s="132"/>
    </row>
    <row r="109" spans="1:7" ht="15.75" customHeight="1">
      <c r="A109" s="136"/>
      <c r="B109" s="136"/>
      <c r="C109" s="136"/>
      <c r="D109" s="44" t="str">
        <f>ИТОГО!$K$11</f>
        <v>451 000-600 000</v>
      </c>
      <c r="E109" s="54">
        <f>E104*(1-ИТОГО!$L$11)</f>
        <v>7811.5</v>
      </c>
      <c r="F109" s="132"/>
      <c r="G109" s="132"/>
    </row>
    <row r="110" spans="1:7" ht="15.75" customHeight="1">
      <c r="A110" s="136"/>
      <c r="B110" s="136"/>
      <c r="C110" s="136"/>
      <c r="D110" s="44" t="str">
        <f>ИТОГО!$K$12</f>
        <v>601 000 и выше</v>
      </c>
      <c r="E110" s="54">
        <f>E104*(1-ИТОГО!$L$12)</f>
        <v>7627.7</v>
      </c>
      <c r="F110" s="132"/>
      <c r="G110" s="132"/>
    </row>
  </sheetData>
  <mergeCells count="78">
    <mergeCell ref="A104:A110"/>
    <mergeCell ref="B104:B110"/>
    <mergeCell ref="C104:C110"/>
    <mergeCell ref="F104:F110"/>
    <mergeCell ref="G104:G110"/>
    <mergeCell ref="A97:A103"/>
    <mergeCell ref="B97:B103"/>
    <mergeCell ref="C97:C103"/>
    <mergeCell ref="F97:F103"/>
    <mergeCell ref="G97:G103"/>
    <mergeCell ref="A90:A96"/>
    <mergeCell ref="B90:B96"/>
    <mergeCell ref="C90:C96"/>
    <mergeCell ref="F90:F96"/>
    <mergeCell ref="G90:G96"/>
    <mergeCell ref="G76:G82"/>
    <mergeCell ref="A83:A89"/>
    <mergeCell ref="B83:B89"/>
    <mergeCell ref="C83:C89"/>
    <mergeCell ref="F83:F89"/>
    <mergeCell ref="G83:G89"/>
    <mergeCell ref="A74:E74"/>
    <mergeCell ref="A76:A82"/>
    <mergeCell ref="B76:B82"/>
    <mergeCell ref="C76:C82"/>
    <mergeCell ref="F76:F82"/>
    <mergeCell ref="A66:A72"/>
    <mergeCell ref="B66:B72"/>
    <mergeCell ref="C66:C72"/>
    <mergeCell ref="F66:F72"/>
    <mergeCell ref="G66:G72"/>
    <mergeCell ref="A59:A65"/>
    <mergeCell ref="B59:B65"/>
    <mergeCell ref="C59:C65"/>
    <mergeCell ref="F59:F65"/>
    <mergeCell ref="G59:G65"/>
    <mergeCell ref="A52:A58"/>
    <mergeCell ref="B52:B58"/>
    <mergeCell ref="C52:C58"/>
    <mergeCell ref="F52:F58"/>
    <mergeCell ref="G52:G58"/>
    <mergeCell ref="A45:A51"/>
    <mergeCell ref="B45:B51"/>
    <mergeCell ref="C45:C51"/>
    <mergeCell ref="F45:F51"/>
    <mergeCell ref="G45:G51"/>
    <mergeCell ref="A38:A44"/>
    <mergeCell ref="B38:B44"/>
    <mergeCell ref="C38:C44"/>
    <mergeCell ref="F38:F44"/>
    <mergeCell ref="G38:G44"/>
    <mergeCell ref="A31:A37"/>
    <mergeCell ref="B31:B37"/>
    <mergeCell ref="C31:C37"/>
    <mergeCell ref="F31:F37"/>
    <mergeCell ref="G31:G37"/>
    <mergeCell ref="A24:A30"/>
    <mergeCell ref="B24:B30"/>
    <mergeCell ref="C24:C30"/>
    <mergeCell ref="F24:F30"/>
    <mergeCell ref="G24:G30"/>
    <mergeCell ref="A17:A23"/>
    <mergeCell ref="B17:B23"/>
    <mergeCell ref="C17:C23"/>
    <mergeCell ref="F17:F23"/>
    <mergeCell ref="G17:G23"/>
    <mergeCell ref="G3:G9"/>
    <mergeCell ref="H9:N9"/>
    <mergeCell ref="A10:A16"/>
    <mergeCell ref="B10:B16"/>
    <mergeCell ref="C10:C16"/>
    <mergeCell ref="F10:F16"/>
    <mergeCell ref="G10:G16"/>
    <mergeCell ref="A1:E1"/>
    <mergeCell ref="A3:A9"/>
    <mergeCell ref="B3:B9"/>
    <mergeCell ref="C3:C9"/>
    <mergeCell ref="F3:F9"/>
  </mergeCells>
  <conditionalFormatting sqref="H3:I8">
    <cfRule type="expression" dxfId="16" priority="2">
      <formula>$H3=cur_label</formula>
    </cfRule>
  </conditionalFormatting>
  <conditionalFormatting sqref="D3:E110">
    <cfRule type="expression" dxfId="15" priority="3">
      <formula>AND($D3&lt;&gt;"",$D3=cur_label)</formula>
    </cfRule>
  </conditionalFormatting>
  <hyperlinks>
    <hyperlink ref="C3" r:id="rId1"/>
    <hyperlink ref="C10" r:id="rId2"/>
    <hyperlink ref="C17" r:id="rId3"/>
    <hyperlink ref="C24" r:id="rId4"/>
    <hyperlink ref="C31" r:id="rId5"/>
    <hyperlink ref="C38" r:id="rId6"/>
    <hyperlink ref="C45" r:id="rId7"/>
    <hyperlink ref="C52" r:id="rId8"/>
    <hyperlink ref="C59" r:id="rId9"/>
    <hyperlink ref="C66" r:id="rId10"/>
    <hyperlink ref="C76" r:id="rId11"/>
    <hyperlink ref="C83" r:id="rId12"/>
    <hyperlink ref="C90" r:id="rId13"/>
    <hyperlink ref="C97" r:id="rId14"/>
    <hyperlink ref="C104" r:id="rId15"/>
  </hyperlinks>
  <pageMargins left="0.7" right="0.7" top="0.75" bottom="0.75" header="0.511811023622047" footer="0.511811023622047"/>
  <pageSetup paperSize="9" fitToHeight="0" orientation="landscape" horizontalDpi="300" verticalDpi="300"/>
  <rowBreaks count="1" manualBreakCount="1">
    <brk id="44" max="16383" man="1"/>
  </rowBreaks>
  <drawing r:id="rId16"/>
  <tableParts count="3">
    <tablePart r:id="rId17"/>
    <tablePart r:id="rId18"/>
    <tablePart r:id="rId19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9"/>
  <sheetViews>
    <sheetView zoomScaleNormal="100" workbookViewId="0">
      <pane ySplit="1" topLeftCell="A2" activePane="bottomLeft" state="frozen"/>
      <selection pane="bottomLeft" activeCell="K7" sqref="K7"/>
    </sheetView>
  </sheetViews>
  <sheetFormatPr defaultColWidth="8.5703125" defaultRowHeight="15"/>
  <cols>
    <col min="2" max="2" width="19.140625" style="1" customWidth="1"/>
    <col min="3" max="3" width="27.7109375" style="1" customWidth="1"/>
    <col min="6" max="6" width="14" style="1" customWidth="1"/>
    <col min="7" max="7" width="16.42578125" style="1" customWidth="1"/>
    <col min="8" max="8" width="18.42578125" style="1" customWidth="1"/>
    <col min="10" max="10" width="17" style="1" customWidth="1"/>
    <col min="11" max="11" width="19.42578125" style="1" customWidth="1"/>
    <col min="12" max="12" width="13.42578125" style="1" customWidth="1"/>
    <col min="13" max="13" width="20" style="1" customWidth="1"/>
    <col min="14" max="14" width="13" style="1" customWidth="1"/>
    <col min="15" max="20" width="15" style="1" customWidth="1"/>
  </cols>
  <sheetData>
    <row r="1" spans="1:20" ht="30" customHeight="1">
      <c r="A1" s="99" t="s">
        <v>84</v>
      </c>
      <c r="B1" s="99" t="s">
        <v>73</v>
      </c>
      <c r="C1" s="99" t="s">
        <v>74</v>
      </c>
      <c r="D1" s="99" t="s">
        <v>213</v>
      </c>
      <c r="E1" s="99" t="s">
        <v>76</v>
      </c>
      <c r="F1" s="63" t="s">
        <v>214</v>
      </c>
      <c r="G1" s="39" t="s">
        <v>77</v>
      </c>
      <c r="H1" s="40" t="s">
        <v>78</v>
      </c>
      <c r="J1" s="39" t="s">
        <v>79</v>
      </c>
      <c r="K1" s="40" t="s">
        <v>80</v>
      </c>
      <c r="L1" s="43" t="s">
        <v>34</v>
      </c>
      <c r="M1" s="40" t="s">
        <v>39</v>
      </c>
      <c r="N1" s="150" t="s">
        <v>215</v>
      </c>
      <c r="O1" s="100" t="str">
        <f>ИТОГО!$K$7</f>
        <v>31 000-80 000</v>
      </c>
      <c r="P1" s="100" t="str">
        <f>ИТОГО!$K$8</f>
        <v>81 000-150 000</v>
      </c>
      <c r="Q1" s="100" t="str">
        <f>ИТОГО!$K$9</f>
        <v>151 000-300 000</v>
      </c>
      <c r="R1" s="100" t="str">
        <f>ИТОГО!$K$10</f>
        <v>301 000-450 000</v>
      </c>
      <c r="S1" s="100" t="str">
        <f>ИТОГО!$K$11</f>
        <v>451 000-600 000</v>
      </c>
      <c r="T1" s="100" t="str">
        <f>ИТОГО!$K$12</f>
        <v>601 000 и выше</v>
      </c>
    </row>
    <row r="2" spans="1:20" ht="87.75" customHeight="1">
      <c r="A2" s="64">
        <v>1</v>
      </c>
      <c r="B2" s="64"/>
      <c r="C2" s="101" t="s">
        <v>216</v>
      </c>
      <c r="D2" s="64" t="s">
        <v>217</v>
      </c>
      <c r="E2" s="54">
        <v>750</v>
      </c>
      <c r="F2" s="54">
        <f t="shared" ref="F2:F9" si="0">E2*(1-cur_rate)</f>
        <v>750</v>
      </c>
      <c r="G2" s="47"/>
      <c r="H2" s="48">
        <f t="shared" ref="H2:H9" si="1">E2*G2</f>
        <v>0</v>
      </c>
      <c r="J2" s="47">
        <f>SUM(G2:G9)</f>
        <v>0</v>
      </c>
      <c r="K2" s="48">
        <f>SUM(H2:H9)</f>
        <v>0</v>
      </c>
      <c r="L2" s="102">
        <f>cur_rate</f>
        <v>0</v>
      </c>
      <c r="M2" s="48">
        <f>K2-K2*L2</f>
        <v>0</v>
      </c>
      <c r="N2" s="150"/>
      <c r="O2" s="103">
        <f>ИТОГО!$L$7</f>
        <v>0.03</v>
      </c>
      <c r="P2" s="103">
        <f>ИТОГО!$L$8</f>
        <v>7.0000000000000007E-2</v>
      </c>
      <c r="Q2" s="103">
        <f>ИТОГО!$L$9</f>
        <v>0.1</v>
      </c>
      <c r="R2" s="103">
        <f>ИТОГО!$L$10</f>
        <v>0.13</v>
      </c>
      <c r="S2" s="103">
        <f>ИТОГО!$L$11</f>
        <v>0.15</v>
      </c>
      <c r="T2" s="103">
        <f>ИТОГО!$L$12</f>
        <v>0.17</v>
      </c>
    </row>
    <row r="3" spans="1:20" ht="87.75" customHeight="1">
      <c r="A3" s="64">
        <v>2</v>
      </c>
      <c r="B3" s="64"/>
      <c r="C3" s="104" t="s">
        <v>218</v>
      </c>
      <c r="D3" s="64" t="s">
        <v>217</v>
      </c>
      <c r="E3" s="54">
        <v>750</v>
      </c>
      <c r="F3" s="54">
        <f t="shared" si="0"/>
        <v>750</v>
      </c>
      <c r="G3" s="47"/>
      <c r="H3" s="48">
        <f t="shared" si="1"/>
        <v>0</v>
      </c>
    </row>
    <row r="4" spans="1:20" ht="87.75" customHeight="1">
      <c r="A4" s="64">
        <v>3</v>
      </c>
      <c r="B4" s="64"/>
      <c r="C4" s="104" t="s">
        <v>219</v>
      </c>
      <c r="D4" s="64" t="s">
        <v>217</v>
      </c>
      <c r="E4" s="54">
        <v>800</v>
      </c>
      <c r="F4" s="54">
        <f t="shared" si="0"/>
        <v>800</v>
      </c>
      <c r="G4" s="47"/>
      <c r="H4" s="48">
        <f t="shared" si="1"/>
        <v>0</v>
      </c>
    </row>
    <row r="5" spans="1:20" ht="87.75" customHeight="1">
      <c r="A5" s="64">
        <v>4</v>
      </c>
      <c r="B5" s="64"/>
      <c r="C5" s="104" t="s">
        <v>220</v>
      </c>
      <c r="D5" s="64" t="s">
        <v>217</v>
      </c>
      <c r="E5" s="54">
        <v>850</v>
      </c>
      <c r="F5" s="54">
        <f t="shared" si="0"/>
        <v>850</v>
      </c>
      <c r="G5" s="47"/>
      <c r="H5" s="48">
        <f t="shared" si="1"/>
        <v>0</v>
      </c>
    </row>
    <row r="6" spans="1:20" ht="87.75" customHeight="1">
      <c r="A6" s="64">
        <v>5</v>
      </c>
      <c r="B6" s="64"/>
      <c r="C6" s="104" t="s">
        <v>221</v>
      </c>
      <c r="D6" s="64" t="s">
        <v>217</v>
      </c>
      <c r="E6" s="54">
        <v>900</v>
      </c>
      <c r="F6" s="54">
        <f t="shared" si="0"/>
        <v>900</v>
      </c>
      <c r="G6" s="47"/>
      <c r="H6" s="48">
        <f t="shared" si="1"/>
        <v>0</v>
      </c>
    </row>
    <row r="7" spans="1:20" ht="87.75" customHeight="1">
      <c r="A7" s="64">
        <v>6</v>
      </c>
      <c r="B7" s="64"/>
      <c r="C7" s="104" t="s">
        <v>222</v>
      </c>
      <c r="D7" s="64" t="s">
        <v>217</v>
      </c>
      <c r="E7" s="54">
        <v>950</v>
      </c>
      <c r="F7" s="54">
        <f t="shared" si="0"/>
        <v>950</v>
      </c>
      <c r="G7" s="47"/>
      <c r="H7" s="48">
        <f t="shared" si="1"/>
        <v>0</v>
      </c>
    </row>
    <row r="8" spans="1:20" ht="87.75" customHeight="1">
      <c r="A8" s="64">
        <v>7</v>
      </c>
      <c r="B8" s="64"/>
      <c r="C8" s="104" t="s">
        <v>223</v>
      </c>
      <c r="D8" s="64" t="s">
        <v>217</v>
      </c>
      <c r="E8" s="54">
        <v>950</v>
      </c>
      <c r="F8" s="54">
        <f t="shared" si="0"/>
        <v>950</v>
      </c>
      <c r="G8" s="47"/>
      <c r="H8" s="48">
        <f t="shared" si="1"/>
        <v>0</v>
      </c>
    </row>
    <row r="9" spans="1:20" ht="87.75" customHeight="1">
      <c r="A9" s="64">
        <v>8</v>
      </c>
      <c r="B9" s="64"/>
      <c r="C9" s="104" t="s">
        <v>224</v>
      </c>
      <c r="D9" s="64" t="s">
        <v>217</v>
      </c>
      <c r="E9" s="54">
        <v>1000</v>
      </c>
      <c r="F9" s="54">
        <f t="shared" si="0"/>
        <v>1000</v>
      </c>
      <c r="G9" s="47"/>
      <c r="H9" s="48">
        <f t="shared" si="1"/>
        <v>0</v>
      </c>
    </row>
  </sheetData>
  <mergeCells count="1">
    <mergeCell ref="N1:N2"/>
  </mergeCells>
  <conditionalFormatting sqref="O1:T2">
    <cfRule type="expression" dxfId="14" priority="2">
      <formula>O$1=cur_label</formula>
    </cfRule>
  </conditionalFormatting>
  <conditionalFormatting sqref="F2:F9">
    <cfRule type="expression" dxfId="13" priority="3">
      <formula>AND(cur_rate&gt;0,$F2&lt;&gt;"")</formula>
    </cfRule>
  </conditionalFormatting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</hyperlinks>
  <pageMargins left="0.7" right="0.7" top="0.75" bottom="0.75" header="0.511811023622047" footer="0.511811023622047"/>
  <pageSetup paperSize="9" fitToHeight="0" orientation="landscape" horizontalDpi="300" verticalDpi="300"/>
  <drawing r:id="rId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3"/>
  <sheetViews>
    <sheetView zoomScaleNormal="100" workbookViewId="0">
      <pane ySplit="2" topLeftCell="A3" activePane="bottomLeft" state="frozen"/>
      <selection pane="bottomLeft" sqref="A1:E1"/>
    </sheetView>
  </sheetViews>
  <sheetFormatPr defaultColWidth="8.5703125" defaultRowHeight="15"/>
  <cols>
    <col min="1" max="1" width="5.85546875" style="1" customWidth="1"/>
    <col min="2" max="5" width="17.42578125" style="1" customWidth="1"/>
    <col min="6" max="6" width="14.28515625" style="1" customWidth="1"/>
    <col min="7" max="7" width="13.42578125" style="1" customWidth="1"/>
    <col min="8" max="8" width="16.7109375" style="1" customWidth="1"/>
    <col min="9" max="9" width="10.85546875" style="1" customWidth="1"/>
    <col min="10" max="10" width="11.140625" style="1" customWidth="1"/>
    <col min="11" max="11" width="13.7109375" style="1" customWidth="1"/>
    <col min="13" max="13" width="19.140625" style="1" customWidth="1"/>
  </cols>
  <sheetData>
    <row r="1" spans="1:13" ht="15.75" customHeight="1">
      <c r="A1" s="151" t="s">
        <v>225</v>
      </c>
      <c r="B1" s="151"/>
      <c r="C1" s="151"/>
      <c r="D1" s="151"/>
      <c r="E1" s="151"/>
    </row>
    <row r="2" spans="1:13" ht="15.75" customHeight="1">
      <c r="A2" s="63" t="s">
        <v>84</v>
      </c>
      <c r="B2" s="63" t="s">
        <v>73</v>
      </c>
      <c r="C2" s="63" t="s">
        <v>74</v>
      </c>
      <c r="D2" s="37" t="s">
        <v>75</v>
      </c>
      <c r="E2" s="63" t="s">
        <v>76</v>
      </c>
      <c r="F2" s="39" t="s">
        <v>77</v>
      </c>
      <c r="G2" s="40" t="s">
        <v>78</v>
      </c>
      <c r="H2" s="42" t="s">
        <v>78</v>
      </c>
      <c r="I2" s="42" t="s">
        <v>34</v>
      </c>
      <c r="J2" s="39" t="s">
        <v>79</v>
      </c>
      <c r="K2" s="40" t="s">
        <v>80</v>
      </c>
      <c r="L2" s="43" t="s">
        <v>34</v>
      </c>
      <c r="M2" s="40" t="s">
        <v>39</v>
      </c>
    </row>
    <row r="3" spans="1:13" ht="15.75" customHeight="1">
      <c r="A3" s="136">
        <v>1</v>
      </c>
      <c r="B3" s="136"/>
      <c r="C3" s="137" t="s">
        <v>226</v>
      </c>
      <c r="D3" s="73" t="str">
        <f>ИТОГО!$K$6</f>
        <v>0-30 000</v>
      </c>
      <c r="E3" s="46">
        <v>11170</v>
      </c>
      <c r="F3" s="132"/>
      <c r="G3" s="133">
        <f>E3*F3</f>
        <v>0</v>
      </c>
      <c r="H3" s="41" t="str">
        <f>ИТОГО!$K$7</f>
        <v>31 000-80 000</v>
      </c>
      <c r="I3" s="49">
        <f>ИТОГО!$L$7</f>
        <v>0.03</v>
      </c>
      <c r="J3" s="50">
        <f>F3+F10+F17</f>
        <v>0</v>
      </c>
      <c r="K3" s="51">
        <f>G3+G10+G17</f>
        <v>0</v>
      </c>
      <c r="L3" s="52">
        <f>cur_rate</f>
        <v>0</v>
      </c>
      <c r="M3" s="51">
        <f>K3-K3*L3</f>
        <v>0</v>
      </c>
    </row>
    <row r="4" spans="1:13" ht="15.75" customHeight="1">
      <c r="A4" s="136"/>
      <c r="B4" s="136"/>
      <c r="C4" s="136"/>
      <c r="D4" s="44" t="str">
        <f>ИТОГО!$K$7</f>
        <v>31 000-80 000</v>
      </c>
      <c r="E4" s="54">
        <f>E3*(1-ИТОГО!$L$7)</f>
        <v>10834.9</v>
      </c>
      <c r="F4" s="132"/>
      <c r="G4" s="132"/>
      <c r="H4" s="41" t="str">
        <f>ИТОГО!$K$8</f>
        <v>81 000-150 000</v>
      </c>
      <c r="I4" s="49">
        <f>ИТОГО!$L$8</f>
        <v>7.0000000000000007E-2</v>
      </c>
    </row>
    <row r="5" spans="1:13" ht="15.75" customHeight="1">
      <c r="A5" s="136"/>
      <c r="B5" s="136"/>
      <c r="C5" s="136"/>
      <c r="D5" s="44" t="str">
        <f>ИТОГО!$K$8</f>
        <v>81 000-150 000</v>
      </c>
      <c r="E5" s="54">
        <f>E3*(1-ИТОГО!$L$8)</f>
        <v>10388.099999999999</v>
      </c>
      <c r="F5" s="132"/>
      <c r="G5" s="132"/>
      <c r="H5" s="41" t="str">
        <f>ИТОГО!$K$9</f>
        <v>151 000-300 000</v>
      </c>
      <c r="I5" s="49">
        <f>ИТОГО!$L$9</f>
        <v>0.1</v>
      </c>
    </row>
    <row r="6" spans="1:13" ht="15.75" customHeight="1">
      <c r="A6" s="136"/>
      <c r="B6" s="136"/>
      <c r="C6" s="136"/>
      <c r="D6" s="44" t="str">
        <f>ИТОГО!$K$9</f>
        <v>151 000-300 000</v>
      </c>
      <c r="E6" s="54">
        <f>E3*(1-ИТОГО!$L$9)</f>
        <v>10053</v>
      </c>
      <c r="F6" s="132"/>
      <c r="G6" s="132"/>
      <c r="H6" s="41" t="str">
        <f>ИТОГО!$K$10</f>
        <v>301 000-450 000</v>
      </c>
      <c r="I6" s="49">
        <f>ИТОГО!$L$10</f>
        <v>0.13</v>
      </c>
    </row>
    <row r="7" spans="1:13" ht="15.75" customHeight="1">
      <c r="A7" s="136"/>
      <c r="B7" s="136"/>
      <c r="C7" s="136"/>
      <c r="D7" s="44" t="str">
        <f>ИТОГО!$K$10</f>
        <v>301 000-450 000</v>
      </c>
      <c r="E7" s="54">
        <f>E3*(1-ИТОГО!$L$10)</f>
        <v>9717.9</v>
      </c>
      <c r="F7" s="132"/>
      <c r="G7" s="132"/>
      <c r="H7" s="41" t="str">
        <f>ИТОГО!$K$11</f>
        <v>451 000-600 000</v>
      </c>
      <c r="I7" s="49">
        <f>ИТОГО!$L$11</f>
        <v>0.15</v>
      </c>
    </row>
    <row r="8" spans="1:13" ht="15.75" customHeight="1">
      <c r="A8" s="136"/>
      <c r="B8" s="136"/>
      <c r="C8" s="136"/>
      <c r="D8" s="44" t="str">
        <f>ИТОГО!$K$11</f>
        <v>451 000-600 000</v>
      </c>
      <c r="E8" s="54">
        <f>E3*(1-ИТОГО!$L$11)</f>
        <v>9494.5</v>
      </c>
      <c r="F8" s="132"/>
      <c r="G8" s="132"/>
      <c r="H8" s="55" t="str">
        <f>ИТОГО!$K$12</f>
        <v>601 000 и выше</v>
      </c>
      <c r="I8" s="56">
        <f>ИТОГО!$L$12</f>
        <v>0.17</v>
      </c>
    </row>
    <row r="9" spans="1:13" ht="15.75" customHeight="1">
      <c r="A9" s="136"/>
      <c r="B9" s="136"/>
      <c r="C9" s="136"/>
      <c r="D9" s="44" t="str">
        <f>ИТОГО!$K$12</f>
        <v>601 000 и выше</v>
      </c>
      <c r="E9" s="54">
        <f>E3*(1-ИТОГО!$L$12)</f>
        <v>9271.1</v>
      </c>
      <c r="F9" s="132"/>
      <c r="G9" s="132"/>
    </row>
    <row r="10" spans="1:13" ht="15.75" customHeight="1">
      <c r="A10" s="136">
        <v>2</v>
      </c>
      <c r="B10" s="136"/>
      <c r="C10" s="137" t="s">
        <v>227</v>
      </c>
      <c r="D10" s="73" t="str">
        <f>ИТОГО!$K$6</f>
        <v>0-30 000</v>
      </c>
      <c r="E10" s="46">
        <v>11400</v>
      </c>
      <c r="F10" s="132"/>
      <c r="G10" s="133">
        <f>E10*F10</f>
        <v>0</v>
      </c>
    </row>
    <row r="11" spans="1:13" ht="15.75" customHeight="1">
      <c r="A11" s="136"/>
      <c r="B11" s="136"/>
      <c r="C11" s="136"/>
      <c r="D11" s="44" t="str">
        <f>ИТОГО!$K$7</f>
        <v>31 000-80 000</v>
      </c>
      <c r="E11" s="54">
        <f>E10*(1-ИТОГО!$L$7)</f>
        <v>11058</v>
      </c>
      <c r="F11" s="132"/>
      <c r="G11" s="132"/>
    </row>
    <row r="12" spans="1:13" ht="15.75" customHeight="1">
      <c r="A12" s="136"/>
      <c r="B12" s="136"/>
      <c r="C12" s="136"/>
      <c r="D12" s="44" t="str">
        <f>ИТОГО!$K$8</f>
        <v>81 000-150 000</v>
      </c>
      <c r="E12" s="54">
        <f>E10*(1-ИТОГО!$L$8)</f>
        <v>10602</v>
      </c>
      <c r="F12" s="132"/>
      <c r="G12" s="132"/>
    </row>
    <row r="13" spans="1:13" ht="15.75" customHeight="1">
      <c r="A13" s="136"/>
      <c r="B13" s="136"/>
      <c r="C13" s="136"/>
      <c r="D13" s="44" t="str">
        <f>ИТОГО!$K$9</f>
        <v>151 000-300 000</v>
      </c>
      <c r="E13" s="54">
        <f>E10*(1-ИТОГО!$L$9)</f>
        <v>10260</v>
      </c>
      <c r="F13" s="132"/>
      <c r="G13" s="132"/>
    </row>
    <row r="14" spans="1:13" ht="15.75" customHeight="1">
      <c r="A14" s="136"/>
      <c r="B14" s="136"/>
      <c r="C14" s="136"/>
      <c r="D14" s="44" t="str">
        <f>ИТОГО!$K$10</f>
        <v>301 000-450 000</v>
      </c>
      <c r="E14" s="54">
        <f>E10*(1-ИТОГО!$L$10)</f>
        <v>9918</v>
      </c>
      <c r="F14" s="132"/>
      <c r="G14" s="132"/>
    </row>
    <row r="15" spans="1:13" ht="15.75" customHeight="1">
      <c r="A15" s="136"/>
      <c r="B15" s="136"/>
      <c r="C15" s="136"/>
      <c r="D15" s="44" t="str">
        <f>ИТОГО!$K$11</f>
        <v>451 000-600 000</v>
      </c>
      <c r="E15" s="54">
        <f>E10*(1-ИТОГО!$L$11)</f>
        <v>9690</v>
      </c>
      <c r="F15" s="132"/>
      <c r="G15" s="132"/>
    </row>
    <row r="16" spans="1:13" ht="15.75" customHeight="1">
      <c r="A16" s="136"/>
      <c r="B16" s="136"/>
      <c r="C16" s="136"/>
      <c r="D16" s="44" t="str">
        <f>ИТОГО!$K$12</f>
        <v>601 000 и выше</v>
      </c>
      <c r="E16" s="54">
        <f>E10*(1-ИТОГО!$L$12)</f>
        <v>9462</v>
      </c>
      <c r="F16" s="132"/>
      <c r="G16" s="132"/>
    </row>
    <row r="17" spans="1:7" ht="15.75" customHeight="1">
      <c r="A17" s="136">
        <v>3</v>
      </c>
      <c r="B17" s="136"/>
      <c r="C17" s="137" t="s">
        <v>228</v>
      </c>
      <c r="D17" s="73" t="str">
        <f>ИТОГО!$K$6</f>
        <v>0-30 000</v>
      </c>
      <c r="E17" s="46">
        <v>11612</v>
      </c>
      <c r="F17" s="132"/>
      <c r="G17" s="133">
        <f>E17*F17</f>
        <v>0</v>
      </c>
    </row>
    <row r="18" spans="1:7" ht="15.75" customHeight="1">
      <c r="A18" s="136"/>
      <c r="B18" s="136"/>
      <c r="C18" s="136"/>
      <c r="D18" s="44" t="str">
        <f>ИТОГО!$K$7</f>
        <v>31 000-80 000</v>
      </c>
      <c r="E18" s="54">
        <f>E17*(1-ИТОГО!$L$7)</f>
        <v>11263.64</v>
      </c>
      <c r="F18" s="132"/>
      <c r="G18" s="132"/>
    </row>
    <row r="19" spans="1:7" ht="15.75" customHeight="1">
      <c r="A19" s="136"/>
      <c r="B19" s="136"/>
      <c r="C19" s="136"/>
      <c r="D19" s="44" t="str">
        <f>ИТОГО!$K$8</f>
        <v>81 000-150 000</v>
      </c>
      <c r="E19" s="54">
        <f>E17*(1-ИТОГО!$L$8)</f>
        <v>10799.16</v>
      </c>
      <c r="F19" s="132"/>
      <c r="G19" s="132"/>
    </row>
    <row r="20" spans="1:7" ht="15.75" customHeight="1">
      <c r="A20" s="136"/>
      <c r="B20" s="136"/>
      <c r="C20" s="136"/>
      <c r="D20" s="44" t="str">
        <f>ИТОГО!$K$9</f>
        <v>151 000-300 000</v>
      </c>
      <c r="E20" s="54">
        <f>E17*(1-ИТОГО!$L$9)</f>
        <v>10450.800000000001</v>
      </c>
      <c r="F20" s="132"/>
      <c r="G20" s="132"/>
    </row>
    <row r="21" spans="1:7" ht="15.75" customHeight="1">
      <c r="A21" s="136"/>
      <c r="B21" s="136"/>
      <c r="C21" s="136"/>
      <c r="D21" s="44" t="str">
        <f>ИТОГО!$K$10</f>
        <v>301 000-450 000</v>
      </c>
      <c r="E21" s="54">
        <f>E17*(1-ИТОГО!$L$10)</f>
        <v>10102.44</v>
      </c>
      <c r="F21" s="132"/>
      <c r="G21" s="132"/>
    </row>
    <row r="22" spans="1:7" ht="15.75" customHeight="1">
      <c r="A22" s="136"/>
      <c r="B22" s="136"/>
      <c r="C22" s="136"/>
      <c r="D22" s="44" t="str">
        <f>ИТОГО!$K$11</f>
        <v>451 000-600 000</v>
      </c>
      <c r="E22" s="54">
        <f>E17*(1-ИТОГО!$L$11)</f>
        <v>9870.1999999999989</v>
      </c>
      <c r="F22" s="132"/>
      <c r="G22" s="132"/>
    </row>
    <row r="23" spans="1:7" ht="15.75" customHeight="1">
      <c r="A23" s="136"/>
      <c r="B23" s="136"/>
      <c r="C23" s="136"/>
      <c r="D23" s="44" t="str">
        <f>ИТОГО!$K$12</f>
        <v>601 000 и выше</v>
      </c>
      <c r="E23" s="54">
        <f>E17*(1-ИТОГО!$L$12)</f>
        <v>9637.9599999999991</v>
      </c>
      <c r="F23" s="132"/>
      <c r="G23" s="132"/>
    </row>
  </sheetData>
  <mergeCells count="16">
    <mergeCell ref="A17:A23"/>
    <mergeCell ref="B17:B23"/>
    <mergeCell ref="C17:C23"/>
    <mergeCell ref="F17:F23"/>
    <mergeCell ref="G17:G23"/>
    <mergeCell ref="G3:G9"/>
    <mergeCell ref="A10:A16"/>
    <mergeCell ref="B10:B16"/>
    <mergeCell ref="C10:C16"/>
    <mergeCell ref="F10:F16"/>
    <mergeCell ref="G10:G16"/>
    <mergeCell ref="A1:E1"/>
    <mergeCell ref="A3:A9"/>
    <mergeCell ref="B3:B9"/>
    <mergeCell ref="C3:C9"/>
    <mergeCell ref="F3:F9"/>
  </mergeCells>
  <conditionalFormatting sqref="H3:I8">
    <cfRule type="expression" dxfId="12" priority="2">
      <formula>$H3=cur_label</formula>
    </cfRule>
  </conditionalFormatting>
  <conditionalFormatting sqref="D3:E23">
    <cfRule type="expression" dxfId="11" priority="3">
      <formula>AND($D3&lt;&gt;"",$D3=cur_label)</formula>
    </cfRule>
  </conditionalFormatting>
  <hyperlinks>
    <hyperlink ref="C3" r:id="rId1"/>
    <hyperlink ref="C10" r:id="rId2"/>
    <hyperlink ref="C17" r:id="rId3"/>
  </hyperlinks>
  <pageMargins left="0.7" right="0.7" top="0.75" bottom="0.75" header="0.511811023622047" footer="0.511811023622047"/>
  <pageSetup paperSize="9" fitToHeight="0" orientation="landscape" horizontalDpi="300" verticalDpi="300"/>
  <drawing r:id="rId4"/>
  <tableParts count="1">
    <tablePart r:id="rId5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3"/>
  <sheetViews>
    <sheetView zoomScaleNormal="100" workbookViewId="0">
      <pane ySplit="2" topLeftCell="A3" activePane="bottomLeft" state="frozen"/>
      <selection pane="bottomLeft" activeCell="C29" sqref="C29"/>
    </sheetView>
  </sheetViews>
  <sheetFormatPr defaultColWidth="8.5703125" defaultRowHeight="15"/>
  <cols>
    <col min="1" max="1" width="5.85546875" style="1" customWidth="1"/>
    <col min="2" max="5" width="17.42578125" style="1" customWidth="1"/>
    <col min="6" max="6" width="14.28515625" style="1" customWidth="1"/>
    <col min="7" max="7" width="13.42578125" style="1" customWidth="1"/>
    <col min="8" max="8" width="16.7109375" style="1" customWidth="1"/>
    <col min="9" max="9" width="10.85546875" style="1" customWidth="1"/>
    <col min="10" max="10" width="11.140625" style="1" customWidth="1"/>
    <col min="11" max="11" width="13.7109375" style="1" customWidth="1"/>
    <col min="13" max="13" width="19.140625" style="1" customWidth="1"/>
  </cols>
  <sheetData>
    <row r="1" spans="1:13" ht="15.75" customHeight="1">
      <c r="A1" s="151" t="s">
        <v>229</v>
      </c>
      <c r="B1" s="151"/>
      <c r="C1" s="151"/>
      <c r="D1" s="151"/>
      <c r="E1" s="151"/>
    </row>
    <row r="2" spans="1:13" ht="15.75" customHeight="1">
      <c r="A2" s="63" t="s">
        <v>84</v>
      </c>
      <c r="B2" s="63" t="s">
        <v>73</v>
      </c>
      <c r="C2" s="63" t="s">
        <v>74</v>
      </c>
      <c r="D2" s="37" t="s">
        <v>75</v>
      </c>
      <c r="E2" s="63" t="s">
        <v>76</v>
      </c>
      <c r="F2" s="39" t="s">
        <v>77</v>
      </c>
      <c r="G2" s="40" t="s">
        <v>78</v>
      </c>
      <c r="H2" s="42" t="s">
        <v>78</v>
      </c>
      <c r="I2" s="42" t="s">
        <v>34</v>
      </c>
      <c r="J2" s="39" t="s">
        <v>79</v>
      </c>
      <c r="K2" s="40" t="s">
        <v>80</v>
      </c>
      <c r="L2" s="43" t="s">
        <v>34</v>
      </c>
      <c r="M2" s="40" t="s">
        <v>39</v>
      </c>
    </row>
    <row r="3" spans="1:13" ht="15.75" customHeight="1">
      <c r="A3" s="136">
        <v>1</v>
      </c>
      <c r="B3" s="136"/>
      <c r="C3" s="137" t="s">
        <v>230</v>
      </c>
      <c r="D3" s="73" t="str">
        <f>ИТОГО!$K$6</f>
        <v>0-30 000</v>
      </c>
      <c r="E3" s="46">
        <v>12500</v>
      </c>
      <c r="F3" s="132"/>
      <c r="G3" s="133">
        <f>E3*F3</f>
        <v>0</v>
      </c>
      <c r="H3" s="41" t="str">
        <f>ИТОГО!$K$7</f>
        <v>31 000-80 000</v>
      </c>
      <c r="I3" s="49">
        <f>ИТОГО!$L$7</f>
        <v>0.03</v>
      </c>
      <c r="J3" s="50">
        <f>F3+F10+F17</f>
        <v>0</v>
      </c>
      <c r="K3" s="51">
        <f>G3+G10+G17</f>
        <v>0</v>
      </c>
      <c r="L3" s="52">
        <f>cur_rate</f>
        <v>0</v>
      </c>
      <c r="M3" s="51">
        <f>K3-K3*L3</f>
        <v>0</v>
      </c>
    </row>
    <row r="4" spans="1:13" ht="15.75" customHeight="1">
      <c r="A4" s="136"/>
      <c r="B4" s="136"/>
      <c r="C4" s="136"/>
      <c r="D4" s="44" t="str">
        <f>ИТОГО!$K$7</f>
        <v>31 000-80 000</v>
      </c>
      <c r="E4" s="54">
        <f>E3*(1-ИТОГО!$L$7)</f>
        <v>12125</v>
      </c>
      <c r="F4" s="132"/>
      <c r="G4" s="132"/>
      <c r="H4" s="41" t="str">
        <f>ИТОГО!$K$8</f>
        <v>81 000-150 000</v>
      </c>
      <c r="I4" s="49">
        <f>ИТОГО!$L$8</f>
        <v>7.0000000000000007E-2</v>
      </c>
    </row>
    <row r="5" spans="1:13" ht="15.75" customHeight="1">
      <c r="A5" s="136"/>
      <c r="B5" s="136"/>
      <c r="C5" s="136"/>
      <c r="D5" s="44" t="str">
        <f>ИТОГО!$K$8</f>
        <v>81 000-150 000</v>
      </c>
      <c r="E5" s="54">
        <f>E3*(1-ИТОГО!$L$8)</f>
        <v>11625</v>
      </c>
      <c r="F5" s="132"/>
      <c r="G5" s="132"/>
      <c r="H5" s="41" t="str">
        <f>ИТОГО!$K$9</f>
        <v>151 000-300 000</v>
      </c>
      <c r="I5" s="49">
        <f>ИТОГО!$L$9</f>
        <v>0.1</v>
      </c>
    </row>
    <row r="6" spans="1:13" ht="15.75" customHeight="1">
      <c r="A6" s="136"/>
      <c r="B6" s="136"/>
      <c r="C6" s="136"/>
      <c r="D6" s="44" t="str">
        <f>ИТОГО!$K$9</f>
        <v>151 000-300 000</v>
      </c>
      <c r="E6" s="54">
        <f>E3*(1-ИТОГО!$L$9)</f>
        <v>11250</v>
      </c>
      <c r="F6" s="132"/>
      <c r="G6" s="132"/>
      <c r="H6" s="41" t="str">
        <f>ИТОГО!$K$10</f>
        <v>301 000-450 000</v>
      </c>
      <c r="I6" s="49">
        <f>ИТОГО!$L$10</f>
        <v>0.13</v>
      </c>
    </row>
    <row r="7" spans="1:13" ht="15.75" customHeight="1">
      <c r="A7" s="136"/>
      <c r="B7" s="136"/>
      <c r="C7" s="136"/>
      <c r="D7" s="44" t="str">
        <f>ИТОГО!$K$10</f>
        <v>301 000-450 000</v>
      </c>
      <c r="E7" s="54">
        <f>E3*(1-ИТОГО!$L$10)</f>
        <v>10875</v>
      </c>
      <c r="F7" s="132"/>
      <c r="G7" s="132"/>
      <c r="H7" s="41" t="str">
        <f>ИТОГО!$K$11</f>
        <v>451 000-600 000</v>
      </c>
      <c r="I7" s="49">
        <f>ИТОГО!$L$11</f>
        <v>0.15</v>
      </c>
    </row>
    <row r="8" spans="1:13" ht="15.75" customHeight="1">
      <c r="A8" s="136"/>
      <c r="B8" s="136"/>
      <c r="C8" s="136"/>
      <c r="D8" s="44" t="str">
        <f>ИТОГО!$K$11</f>
        <v>451 000-600 000</v>
      </c>
      <c r="E8" s="54">
        <f>E3*(1-ИТОГО!$L$11)</f>
        <v>10625</v>
      </c>
      <c r="F8" s="132"/>
      <c r="G8" s="132"/>
      <c r="H8" s="55" t="str">
        <f>ИТОГО!$K$12</f>
        <v>601 000 и выше</v>
      </c>
      <c r="I8" s="56">
        <f>ИТОГО!$L$12</f>
        <v>0.17</v>
      </c>
    </row>
    <row r="9" spans="1:13" ht="15.75" customHeight="1">
      <c r="A9" s="136"/>
      <c r="B9" s="136"/>
      <c r="C9" s="136"/>
      <c r="D9" s="44" t="str">
        <f>ИТОГО!$K$12</f>
        <v>601 000 и выше</v>
      </c>
      <c r="E9" s="54">
        <f>E3*(1-ИТОГО!$L$12)</f>
        <v>10375</v>
      </c>
      <c r="F9" s="132"/>
      <c r="G9" s="132"/>
    </row>
    <row r="10" spans="1:13" ht="15.75" customHeight="1">
      <c r="A10" s="136">
        <v>2</v>
      </c>
      <c r="B10" s="136"/>
      <c r="C10" s="137" t="s">
        <v>231</v>
      </c>
      <c r="D10" s="73" t="str">
        <f>ИТОГО!$K$6</f>
        <v>0-30 000</v>
      </c>
      <c r="E10" s="46">
        <v>13000</v>
      </c>
      <c r="F10" s="132"/>
      <c r="G10" s="133">
        <f>E10*F10</f>
        <v>0</v>
      </c>
    </row>
    <row r="11" spans="1:13" ht="15.75" customHeight="1">
      <c r="A11" s="136"/>
      <c r="B11" s="136"/>
      <c r="C11" s="136"/>
      <c r="D11" s="44" t="str">
        <f>ИТОГО!$K$7</f>
        <v>31 000-80 000</v>
      </c>
      <c r="E11" s="54">
        <f>E10*(1-ИТОГО!$L$7)</f>
        <v>12610</v>
      </c>
      <c r="F11" s="132"/>
      <c r="G11" s="132"/>
    </row>
    <row r="12" spans="1:13" ht="15.75" customHeight="1">
      <c r="A12" s="136"/>
      <c r="B12" s="136"/>
      <c r="C12" s="136"/>
      <c r="D12" s="44" t="str">
        <f>ИТОГО!$K$8</f>
        <v>81 000-150 000</v>
      </c>
      <c r="E12" s="54">
        <f>E10*(1-ИТОГО!$L$8)</f>
        <v>12090</v>
      </c>
      <c r="F12" s="132"/>
      <c r="G12" s="132"/>
    </row>
    <row r="13" spans="1:13" ht="15.75" customHeight="1">
      <c r="A13" s="136"/>
      <c r="B13" s="136"/>
      <c r="C13" s="136"/>
      <c r="D13" s="44" t="str">
        <f>ИТОГО!$K$9</f>
        <v>151 000-300 000</v>
      </c>
      <c r="E13" s="54">
        <f>E10*(1-ИТОГО!$L$9)</f>
        <v>11700</v>
      </c>
      <c r="F13" s="132"/>
      <c r="G13" s="132"/>
    </row>
    <row r="14" spans="1:13" ht="15.75" customHeight="1">
      <c r="A14" s="136"/>
      <c r="B14" s="136"/>
      <c r="C14" s="136"/>
      <c r="D14" s="44" t="str">
        <f>ИТОГО!$K$10</f>
        <v>301 000-450 000</v>
      </c>
      <c r="E14" s="54">
        <f>E10*(1-ИТОГО!$L$10)</f>
        <v>11310</v>
      </c>
      <c r="F14" s="132"/>
      <c r="G14" s="132"/>
    </row>
    <row r="15" spans="1:13" ht="15.75" customHeight="1">
      <c r="A15" s="136"/>
      <c r="B15" s="136"/>
      <c r="C15" s="136"/>
      <c r="D15" s="44" t="str">
        <f>ИТОГО!$K$11</f>
        <v>451 000-600 000</v>
      </c>
      <c r="E15" s="54">
        <f>E10*(1-ИТОГО!$L$11)</f>
        <v>11050</v>
      </c>
      <c r="F15" s="132"/>
      <c r="G15" s="132"/>
    </row>
    <row r="16" spans="1:13" ht="15.75" customHeight="1">
      <c r="A16" s="136"/>
      <c r="B16" s="136"/>
      <c r="C16" s="136"/>
      <c r="D16" s="44" t="str">
        <f>ИТОГО!$K$12</f>
        <v>601 000 и выше</v>
      </c>
      <c r="E16" s="54">
        <f>E10*(1-ИТОГО!$L$12)</f>
        <v>10790</v>
      </c>
      <c r="F16" s="132"/>
      <c r="G16" s="132"/>
    </row>
    <row r="17" spans="1:7" ht="15.75" customHeight="1">
      <c r="A17" s="136">
        <v>3</v>
      </c>
      <c r="B17" s="136"/>
      <c r="C17" s="137" t="s">
        <v>232</v>
      </c>
      <c r="D17" s="73" t="str">
        <f>ИТОГО!$K$6</f>
        <v>0-30 000</v>
      </c>
      <c r="E17" s="46">
        <v>13550</v>
      </c>
      <c r="F17" s="132"/>
      <c r="G17" s="133">
        <f>E17*F17</f>
        <v>0</v>
      </c>
    </row>
    <row r="18" spans="1:7" ht="15.75" customHeight="1">
      <c r="A18" s="136"/>
      <c r="B18" s="136"/>
      <c r="C18" s="136"/>
      <c r="D18" s="44" t="str">
        <f>ИТОГО!$K$7</f>
        <v>31 000-80 000</v>
      </c>
      <c r="E18" s="54">
        <f>E17*(1-ИТОГО!$L$7)</f>
        <v>13143.5</v>
      </c>
      <c r="F18" s="132"/>
      <c r="G18" s="132"/>
    </row>
    <row r="19" spans="1:7" ht="15.75" customHeight="1">
      <c r="A19" s="136"/>
      <c r="B19" s="136"/>
      <c r="C19" s="136"/>
      <c r="D19" s="44" t="str">
        <f>ИТОГО!$K$8</f>
        <v>81 000-150 000</v>
      </c>
      <c r="E19" s="54">
        <f>E17*(1-ИТОГО!$L$8)</f>
        <v>12601.5</v>
      </c>
      <c r="F19" s="132"/>
      <c r="G19" s="132"/>
    </row>
    <row r="20" spans="1:7" ht="15.75" customHeight="1">
      <c r="A20" s="136"/>
      <c r="B20" s="136"/>
      <c r="C20" s="136"/>
      <c r="D20" s="44" t="str">
        <f>ИТОГО!$K$9</f>
        <v>151 000-300 000</v>
      </c>
      <c r="E20" s="54">
        <f>E17*(1-ИТОГО!$L$9)</f>
        <v>12195</v>
      </c>
      <c r="F20" s="132"/>
      <c r="G20" s="132"/>
    </row>
    <row r="21" spans="1:7" ht="15.75" customHeight="1">
      <c r="A21" s="136"/>
      <c r="B21" s="136"/>
      <c r="C21" s="136"/>
      <c r="D21" s="44" t="str">
        <f>ИТОГО!$K$10</f>
        <v>301 000-450 000</v>
      </c>
      <c r="E21" s="54">
        <f>E17*(1-ИТОГО!$L$10)</f>
        <v>11788.5</v>
      </c>
      <c r="F21" s="132"/>
      <c r="G21" s="132"/>
    </row>
    <row r="22" spans="1:7" ht="15.75" customHeight="1">
      <c r="A22" s="136"/>
      <c r="B22" s="136"/>
      <c r="C22" s="136"/>
      <c r="D22" s="44" t="str">
        <f>ИТОГО!$K$11</f>
        <v>451 000-600 000</v>
      </c>
      <c r="E22" s="54">
        <f>E17*(1-ИТОГО!$L$11)</f>
        <v>11517.5</v>
      </c>
      <c r="F22" s="132"/>
      <c r="G22" s="132"/>
    </row>
    <row r="23" spans="1:7" ht="15.75" customHeight="1">
      <c r="A23" s="136"/>
      <c r="B23" s="136"/>
      <c r="C23" s="136"/>
      <c r="D23" s="44" t="str">
        <f>ИТОГО!$K$12</f>
        <v>601 000 и выше</v>
      </c>
      <c r="E23" s="54">
        <f>E17*(1-ИТОГО!$L$12)</f>
        <v>11246.5</v>
      </c>
      <c r="F23" s="132"/>
      <c r="G23" s="132"/>
    </row>
  </sheetData>
  <mergeCells count="16">
    <mergeCell ref="A17:A23"/>
    <mergeCell ref="B17:B23"/>
    <mergeCell ref="C17:C23"/>
    <mergeCell ref="F17:F23"/>
    <mergeCell ref="G17:G23"/>
    <mergeCell ref="G3:G9"/>
    <mergeCell ref="A10:A16"/>
    <mergeCell ref="B10:B16"/>
    <mergeCell ref="C10:C16"/>
    <mergeCell ref="F10:F16"/>
    <mergeCell ref="G10:G16"/>
    <mergeCell ref="A1:E1"/>
    <mergeCell ref="A3:A9"/>
    <mergeCell ref="B3:B9"/>
    <mergeCell ref="C3:C9"/>
    <mergeCell ref="F3:F9"/>
  </mergeCells>
  <conditionalFormatting sqref="H3:I8">
    <cfRule type="expression" dxfId="10" priority="2">
      <formula>$H3=cur_label</formula>
    </cfRule>
  </conditionalFormatting>
  <conditionalFormatting sqref="D3:E23">
    <cfRule type="expression" dxfId="9" priority="3">
      <formula>AND($D3&lt;&gt;"",$D3=cur_label)</formula>
    </cfRule>
  </conditionalFormatting>
  <hyperlinks>
    <hyperlink ref="C3" r:id="rId1"/>
    <hyperlink ref="C10" r:id="rId2"/>
    <hyperlink ref="C17" r:id="rId3"/>
  </hyperlinks>
  <pageMargins left="0.7" right="0.7" top="0.75" bottom="0.75" header="0.511811023622047" footer="0.511811023622047"/>
  <pageSetup paperSize="9" fitToHeight="0" orientation="landscape" horizontalDpi="300" verticalDpi="300"/>
  <drawing r:id="rId4"/>
  <tableParts count="1">
    <tablePart r:id="rId5"/>
  </tablePart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7"/>
  <sheetViews>
    <sheetView zoomScaleNormal="100" workbookViewId="0">
      <pane ySplit="2" topLeftCell="A3" activePane="bottomLeft" state="frozen"/>
      <selection pane="bottomLeft" activeCell="M26" sqref="M26"/>
    </sheetView>
  </sheetViews>
  <sheetFormatPr defaultColWidth="8.5703125" defaultRowHeight="15"/>
  <cols>
    <col min="1" max="1" width="5.85546875" style="1" customWidth="1"/>
    <col min="2" max="5" width="17.42578125" style="1" customWidth="1"/>
    <col min="6" max="6" width="14.28515625" style="1" customWidth="1"/>
    <col min="7" max="7" width="13.42578125" style="1" customWidth="1"/>
    <col min="8" max="8" width="16.7109375" style="1" customWidth="1"/>
    <col min="9" max="9" width="10.85546875" style="1" customWidth="1"/>
    <col min="10" max="10" width="11.140625" style="1" customWidth="1"/>
    <col min="11" max="11" width="13.7109375" style="1" customWidth="1"/>
    <col min="13" max="13" width="19.140625" style="1" customWidth="1"/>
  </cols>
  <sheetData>
    <row r="1" spans="1:13" ht="24" customHeight="1">
      <c r="A1" s="151" t="s">
        <v>233</v>
      </c>
      <c r="B1" s="151"/>
      <c r="C1" s="151"/>
      <c r="D1" s="151"/>
      <c r="E1" s="151"/>
    </row>
    <row r="2" spans="1:13" ht="15.75" customHeight="1">
      <c r="A2" s="63" t="s">
        <v>84</v>
      </c>
      <c r="B2" s="63" t="s">
        <v>73</v>
      </c>
      <c r="C2" s="63" t="s">
        <v>74</v>
      </c>
      <c r="D2" s="37" t="s">
        <v>75</v>
      </c>
      <c r="E2" s="63" t="s">
        <v>76</v>
      </c>
      <c r="F2" s="39" t="s">
        <v>77</v>
      </c>
      <c r="G2" s="40" t="s">
        <v>78</v>
      </c>
      <c r="H2" s="42" t="s">
        <v>78</v>
      </c>
      <c r="I2" s="42" t="s">
        <v>34</v>
      </c>
      <c r="J2" s="39" t="s">
        <v>79</v>
      </c>
      <c r="K2" s="40" t="s">
        <v>80</v>
      </c>
      <c r="L2" s="43" t="s">
        <v>34</v>
      </c>
      <c r="M2" s="40" t="s">
        <v>39</v>
      </c>
    </row>
    <row r="3" spans="1:13" ht="15.75" customHeight="1">
      <c r="A3" s="136">
        <v>1</v>
      </c>
      <c r="B3" s="136"/>
      <c r="C3" s="137" t="s">
        <v>234</v>
      </c>
      <c r="D3" s="73" t="str">
        <f>ИТОГО!$K$6</f>
        <v>0-30 000</v>
      </c>
      <c r="E3" s="46">
        <v>14260</v>
      </c>
      <c r="F3" s="132"/>
      <c r="G3" s="133">
        <f>E3*F3</f>
        <v>0</v>
      </c>
      <c r="H3" s="41" t="str">
        <f>ИТОГО!$K$7</f>
        <v>31 000-80 000</v>
      </c>
      <c r="I3" s="49">
        <f>ИТОГО!$L$7</f>
        <v>0.03</v>
      </c>
      <c r="J3" s="50">
        <f>F3+F10+F17+F24+F31</f>
        <v>0</v>
      </c>
      <c r="K3" s="51">
        <f>G3+G10+G17+G24+G31</f>
        <v>0</v>
      </c>
      <c r="L3" s="52">
        <f>cur_rate</f>
        <v>0</v>
      </c>
      <c r="M3" s="51">
        <f>K3-K3*L3</f>
        <v>0</v>
      </c>
    </row>
    <row r="4" spans="1:13" ht="15.75" customHeight="1">
      <c r="A4" s="136"/>
      <c r="B4" s="136"/>
      <c r="C4" s="136"/>
      <c r="D4" s="44" t="str">
        <f>ИТОГО!$K$7</f>
        <v>31 000-80 000</v>
      </c>
      <c r="E4" s="54">
        <f>E3*(1-ИТОГО!$L$7)</f>
        <v>13832.199999999999</v>
      </c>
      <c r="F4" s="132"/>
      <c r="G4" s="132"/>
      <c r="H4" s="41" t="str">
        <f>ИТОГО!$K$8</f>
        <v>81 000-150 000</v>
      </c>
      <c r="I4" s="49">
        <f>ИТОГО!$L$8</f>
        <v>7.0000000000000007E-2</v>
      </c>
    </row>
    <row r="5" spans="1:13" ht="15.75" customHeight="1">
      <c r="A5" s="136"/>
      <c r="B5" s="136"/>
      <c r="C5" s="136"/>
      <c r="D5" s="44" t="str">
        <f>ИТОГО!$K$8</f>
        <v>81 000-150 000</v>
      </c>
      <c r="E5" s="54">
        <f>E3*(1-ИТОГО!$L$8)</f>
        <v>13261.8</v>
      </c>
      <c r="F5" s="132"/>
      <c r="G5" s="132"/>
      <c r="H5" s="41" t="str">
        <f>ИТОГО!$K$9</f>
        <v>151 000-300 000</v>
      </c>
      <c r="I5" s="49">
        <f>ИТОГО!$L$9</f>
        <v>0.1</v>
      </c>
    </row>
    <row r="6" spans="1:13" ht="15.75" customHeight="1">
      <c r="A6" s="136"/>
      <c r="B6" s="136"/>
      <c r="C6" s="136"/>
      <c r="D6" s="44" t="str">
        <f>ИТОГО!$K$9</f>
        <v>151 000-300 000</v>
      </c>
      <c r="E6" s="54">
        <f>E3*(1-ИТОГО!$L$9)</f>
        <v>12834</v>
      </c>
      <c r="F6" s="132"/>
      <c r="G6" s="132"/>
      <c r="H6" s="41" t="str">
        <f>ИТОГО!$K$10</f>
        <v>301 000-450 000</v>
      </c>
      <c r="I6" s="49">
        <f>ИТОГО!$L$10</f>
        <v>0.13</v>
      </c>
    </row>
    <row r="7" spans="1:13" ht="15.75" customHeight="1">
      <c r="A7" s="136"/>
      <c r="B7" s="136"/>
      <c r="C7" s="136"/>
      <c r="D7" s="44" t="str">
        <f>ИТОГО!$K$10</f>
        <v>301 000-450 000</v>
      </c>
      <c r="E7" s="54">
        <f>E3*(1-ИТОГО!$L$10)</f>
        <v>12406.2</v>
      </c>
      <c r="F7" s="132"/>
      <c r="G7" s="132"/>
      <c r="H7" s="41" t="str">
        <f>ИТОГО!$K$11</f>
        <v>451 000-600 000</v>
      </c>
      <c r="I7" s="49">
        <f>ИТОГО!$L$11</f>
        <v>0.15</v>
      </c>
    </row>
    <row r="8" spans="1:13" ht="15.75" customHeight="1">
      <c r="A8" s="136"/>
      <c r="B8" s="136"/>
      <c r="C8" s="136"/>
      <c r="D8" s="44" t="str">
        <f>ИТОГО!$K$11</f>
        <v>451 000-600 000</v>
      </c>
      <c r="E8" s="54">
        <f>E3*(1-ИТОГО!$L$11)</f>
        <v>12121</v>
      </c>
      <c r="F8" s="132"/>
      <c r="G8" s="132"/>
      <c r="H8" s="55" t="str">
        <f>ИТОГО!$K$12</f>
        <v>601 000 и выше</v>
      </c>
      <c r="I8" s="56">
        <f>ИТОГО!$L$12</f>
        <v>0.17</v>
      </c>
    </row>
    <row r="9" spans="1:13" ht="15.75" customHeight="1">
      <c r="A9" s="136"/>
      <c r="B9" s="136"/>
      <c r="C9" s="136"/>
      <c r="D9" s="44" t="str">
        <f>ИТОГО!$K$12</f>
        <v>601 000 и выше</v>
      </c>
      <c r="E9" s="54">
        <f>E3*(1-ИТОГО!$L$12)</f>
        <v>11835.8</v>
      </c>
      <c r="F9" s="132"/>
      <c r="G9" s="132"/>
    </row>
    <row r="10" spans="1:13" ht="15.75" customHeight="1">
      <c r="A10" s="136">
        <v>2</v>
      </c>
      <c r="B10" s="136"/>
      <c r="C10" s="137" t="s">
        <v>235</v>
      </c>
      <c r="D10" s="73" t="str">
        <f>ИТОГО!$K$6</f>
        <v>0-30 000</v>
      </c>
      <c r="E10" s="46">
        <v>18080</v>
      </c>
      <c r="F10" s="132"/>
      <c r="G10" s="133">
        <f>E10*F10</f>
        <v>0</v>
      </c>
    </row>
    <row r="11" spans="1:13" ht="15.75" customHeight="1">
      <c r="A11" s="136"/>
      <c r="B11" s="136"/>
      <c r="C11" s="136"/>
      <c r="D11" s="44" t="str">
        <f>ИТОГО!$K$7</f>
        <v>31 000-80 000</v>
      </c>
      <c r="E11" s="54">
        <f>E10*(1-ИТОГО!$L$7)</f>
        <v>17537.599999999999</v>
      </c>
      <c r="F11" s="132"/>
      <c r="G11" s="132"/>
    </row>
    <row r="12" spans="1:13" ht="15.75" customHeight="1">
      <c r="A12" s="136"/>
      <c r="B12" s="136"/>
      <c r="C12" s="136"/>
      <c r="D12" s="44" t="str">
        <f>ИТОГО!$K$8</f>
        <v>81 000-150 000</v>
      </c>
      <c r="E12" s="54">
        <f>E10*(1-ИТОГО!$L$8)</f>
        <v>16814.399999999998</v>
      </c>
      <c r="F12" s="132"/>
      <c r="G12" s="132"/>
    </row>
    <row r="13" spans="1:13" ht="15.75" customHeight="1">
      <c r="A13" s="136"/>
      <c r="B13" s="136"/>
      <c r="C13" s="136"/>
      <c r="D13" s="44" t="str">
        <f>ИТОГО!$K$9</f>
        <v>151 000-300 000</v>
      </c>
      <c r="E13" s="54">
        <f>E10*(1-ИТОГО!$L$9)</f>
        <v>16272</v>
      </c>
      <c r="F13" s="132"/>
      <c r="G13" s="132"/>
    </row>
    <row r="14" spans="1:13" ht="15.75" customHeight="1">
      <c r="A14" s="136"/>
      <c r="B14" s="136"/>
      <c r="C14" s="136"/>
      <c r="D14" s="44" t="str">
        <f>ИТОГО!$K$10</f>
        <v>301 000-450 000</v>
      </c>
      <c r="E14" s="54">
        <f>E10*(1-ИТОГО!$L$10)</f>
        <v>15729.6</v>
      </c>
      <c r="F14" s="132"/>
      <c r="G14" s="132"/>
    </row>
    <row r="15" spans="1:13" ht="15.75" customHeight="1">
      <c r="A15" s="136"/>
      <c r="B15" s="136"/>
      <c r="C15" s="136"/>
      <c r="D15" s="44" t="str">
        <f>ИТОГО!$K$11</f>
        <v>451 000-600 000</v>
      </c>
      <c r="E15" s="54">
        <f>E10*(1-ИТОГО!$L$11)</f>
        <v>15368</v>
      </c>
      <c r="F15" s="132"/>
      <c r="G15" s="132"/>
    </row>
    <row r="16" spans="1:13" ht="15.75" customHeight="1">
      <c r="A16" s="136"/>
      <c r="B16" s="136"/>
      <c r="C16" s="136"/>
      <c r="D16" s="44" t="str">
        <f>ИТОГО!$K$12</f>
        <v>601 000 и выше</v>
      </c>
      <c r="E16" s="54">
        <f>E10*(1-ИТОГО!$L$12)</f>
        <v>15006.4</v>
      </c>
      <c r="F16" s="132"/>
      <c r="G16" s="132"/>
    </row>
    <row r="17" spans="1:7" ht="15.75" customHeight="1">
      <c r="A17" s="136">
        <v>3</v>
      </c>
      <c r="B17" s="136"/>
      <c r="C17" s="137" t="s">
        <v>236</v>
      </c>
      <c r="D17" s="73" t="str">
        <f>ИТОГО!$K$6</f>
        <v>0-30 000</v>
      </c>
      <c r="E17" s="46">
        <v>15150</v>
      </c>
      <c r="F17" s="132"/>
      <c r="G17" s="133">
        <f>E17*F17</f>
        <v>0</v>
      </c>
    </row>
    <row r="18" spans="1:7" ht="15.75" customHeight="1">
      <c r="A18" s="136"/>
      <c r="B18" s="136"/>
      <c r="C18" s="136"/>
      <c r="D18" s="44" t="str">
        <f>ИТОГО!$K$7</f>
        <v>31 000-80 000</v>
      </c>
      <c r="E18" s="54">
        <f>E17*(1-ИТОГО!$L$7)</f>
        <v>14695.5</v>
      </c>
      <c r="F18" s="132"/>
      <c r="G18" s="132"/>
    </row>
    <row r="19" spans="1:7" ht="15.75" customHeight="1">
      <c r="A19" s="136"/>
      <c r="B19" s="136"/>
      <c r="C19" s="136"/>
      <c r="D19" s="44" t="str">
        <f>ИТОГО!$K$8</f>
        <v>81 000-150 000</v>
      </c>
      <c r="E19" s="54">
        <f>E17*(1-ИТОГО!$L$8)</f>
        <v>14089.499999999998</v>
      </c>
      <c r="F19" s="132"/>
      <c r="G19" s="132"/>
    </row>
    <row r="20" spans="1:7" ht="15.75" customHeight="1">
      <c r="A20" s="136"/>
      <c r="B20" s="136"/>
      <c r="C20" s="136"/>
      <c r="D20" s="44" t="str">
        <f>ИТОГО!$K$9</f>
        <v>151 000-300 000</v>
      </c>
      <c r="E20" s="54">
        <f>E17*(1-ИТОГО!$L$9)</f>
        <v>13635</v>
      </c>
      <c r="F20" s="132"/>
      <c r="G20" s="132"/>
    </row>
    <row r="21" spans="1:7" ht="15.75" customHeight="1">
      <c r="A21" s="136"/>
      <c r="B21" s="136"/>
      <c r="C21" s="136"/>
      <c r="D21" s="44" t="str">
        <f>ИТОГО!$K$10</f>
        <v>301 000-450 000</v>
      </c>
      <c r="E21" s="54">
        <f>E17*(1-ИТОГО!$L$10)</f>
        <v>13180.5</v>
      </c>
      <c r="F21" s="132"/>
      <c r="G21" s="132"/>
    </row>
    <row r="22" spans="1:7" ht="15.75" customHeight="1">
      <c r="A22" s="136"/>
      <c r="B22" s="136"/>
      <c r="C22" s="136"/>
      <c r="D22" s="44" t="str">
        <f>ИТОГО!$K$11</f>
        <v>451 000-600 000</v>
      </c>
      <c r="E22" s="54">
        <f>E17*(1-ИТОГО!$L$11)</f>
        <v>12877.5</v>
      </c>
      <c r="F22" s="132"/>
      <c r="G22" s="132"/>
    </row>
    <row r="23" spans="1:7" ht="15.75" customHeight="1">
      <c r="A23" s="136"/>
      <c r="B23" s="136"/>
      <c r="C23" s="136"/>
      <c r="D23" s="44" t="str">
        <f>ИТОГО!$K$12</f>
        <v>601 000 и выше</v>
      </c>
      <c r="E23" s="54">
        <f>E17*(1-ИТОГО!$L$12)</f>
        <v>12574.5</v>
      </c>
      <c r="F23" s="132"/>
      <c r="G23" s="132"/>
    </row>
    <row r="24" spans="1:7" ht="15.75" customHeight="1">
      <c r="A24" s="136">
        <v>4</v>
      </c>
      <c r="B24" s="136"/>
      <c r="C24" s="137" t="s">
        <v>237</v>
      </c>
      <c r="D24" s="73" t="str">
        <f>ИТОГО!$K$6</f>
        <v>0-30 000</v>
      </c>
      <c r="E24" s="46">
        <v>25810</v>
      </c>
      <c r="F24" s="132"/>
      <c r="G24" s="133">
        <f>E24*F24</f>
        <v>0</v>
      </c>
    </row>
    <row r="25" spans="1:7" ht="15.75" customHeight="1">
      <c r="A25" s="136"/>
      <c r="B25" s="136"/>
      <c r="C25" s="136"/>
      <c r="D25" s="44" t="str">
        <f>ИТОГО!$K$7</f>
        <v>31 000-80 000</v>
      </c>
      <c r="E25" s="54">
        <f>E24*(1-ИТОГО!$L$7)</f>
        <v>25035.7</v>
      </c>
      <c r="F25" s="132"/>
      <c r="G25" s="132"/>
    </row>
    <row r="26" spans="1:7" ht="15.75" customHeight="1">
      <c r="A26" s="136"/>
      <c r="B26" s="136"/>
      <c r="C26" s="136"/>
      <c r="D26" s="44" t="str">
        <f>ИТОГО!$K$8</f>
        <v>81 000-150 000</v>
      </c>
      <c r="E26" s="54">
        <f>E24*(1-ИТОГО!$L$8)</f>
        <v>24003.3</v>
      </c>
      <c r="F26" s="132"/>
      <c r="G26" s="132"/>
    </row>
    <row r="27" spans="1:7" ht="15.75" customHeight="1">
      <c r="A27" s="136"/>
      <c r="B27" s="136"/>
      <c r="C27" s="136"/>
      <c r="D27" s="44" t="str">
        <f>ИТОГО!$K$9</f>
        <v>151 000-300 000</v>
      </c>
      <c r="E27" s="54">
        <f>E24*(1-ИТОГО!$L$9)</f>
        <v>23229</v>
      </c>
      <c r="F27" s="132"/>
      <c r="G27" s="132"/>
    </row>
    <row r="28" spans="1:7" ht="15.75" customHeight="1">
      <c r="A28" s="136"/>
      <c r="B28" s="136"/>
      <c r="C28" s="136"/>
      <c r="D28" s="44" t="str">
        <f>ИТОГО!$K$10</f>
        <v>301 000-450 000</v>
      </c>
      <c r="E28" s="54">
        <f>E24*(1-ИТОГО!$L$10)</f>
        <v>22454.7</v>
      </c>
      <c r="F28" s="132"/>
      <c r="G28" s="132"/>
    </row>
    <row r="29" spans="1:7" ht="15.75" customHeight="1">
      <c r="A29" s="136"/>
      <c r="B29" s="136"/>
      <c r="C29" s="136"/>
      <c r="D29" s="44" t="str">
        <f>ИТОГО!$K$11</f>
        <v>451 000-600 000</v>
      </c>
      <c r="E29" s="54">
        <f>E24*(1-ИТОГО!$L$11)</f>
        <v>21938.5</v>
      </c>
      <c r="F29" s="132"/>
      <c r="G29" s="132"/>
    </row>
    <row r="30" spans="1:7" ht="15.75" customHeight="1">
      <c r="A30" s="136"/>
      <c r="B30" s="136"/>
      <c r="C30" s="136"/>
      <c r="D30" s="44" t="str">
        <f>ИТОГО!$K$12</f>
        <v>601 000 и выше</v>
      </c>
      <c r="E30" s="54">
        <f>E24*(1-ИТОГО!$L$12)</f>
        <v>21422.3</v>
      </c>
      <c r="F30" s="132"/>
      <c r="G30" s="132"/>
    </row>
    <row r="31" spans="1:7" ht="15.75" customHeight="1">
      <c r="A31" s="136">
        <v>5</v>
      </c>
      <c r="B31" s="136"/>
      <c r="C31" s="137" t="s">
        <v>238</v>
      </c>
      <c r="D31" s="73" t="str">
        <f>ИТОГО!$K$6</f>
        <v>0-30 000</v>
      </c>
      <c r="E31" s="46">
        <v>15500</v>
      </c>
      <c r="F31" s="132"/>
      <c r="G31" s="133">
        <f>E31*F31</f>
        <v>0</v>
      </c>
    </row>
    <row r="32" spans="1:7" ht="15.75" customHeight="1">
      <c r="A32" s="136"/>
      <c r="B32" s="136"/>
      <c r="C32" s="136"/>
      <c r="D32" s="44" t="str">
        <f>ИТОГО!$K$7</f>
        <v>31 000-80 000</v>
      </c>
      <c r="E32" s="54">
        <f>E31*(1-ИТОГО!$L$7)</f>
        <v>15035</v>
      </c>
      <c r="F32" s="132"/>
      <c r="G32" s="132"/>
    </row>
    <row r="33" spans="1:7" ht="15.75" customHeight="1">
      <c r="A33" s="136"/>
      <c r="B33" s="136"/>
      <c r="C33" s="136"/>
      <c r="D33" s="44" t="str">
        <f>ИТОГО!$K$8</f>
        <v>81 000-150 000</v>
      </c>
      <c r="E33" s="54">
        <f>E31*(1-ИТОГО!$L$8)</f>
        <v>14414.999999999998</v>
      </c>
      <c r="F33" s="132"/>
      <c r="G33" s="132"/>
    </row>
    <row r="34" spans="1:7" ht="15.75" customHeight="1">
      <c r="A34" s="136"/>
      <c r="B34" s="136"/>
      <c r="C34" s="136"/>
      <c r="D34" s="44" t="str">
        <f>ИТОГО!$K$9</f>
        <v>151 000-300 000</v>
      </c>
      <c r="E34" s="54">
        <f>E31*(1-ИТОГО!$L$9)</f>
        <v>13950</v>
      </c>
      <c r="F34" s="132"/>
      <c r="G34" s="132"/>
    </row>
    <row r="35" spans="1:7" ht="15.75" customHeight="1">
      <c r="A35" s="136"/>
      <c r="B35" s="136"/>
      <c r="C35" s="136"/>
      <c r="D35" s="44" t="str">
        <f>ИТОГО!$K$10</f>
        <v>301 000-450 000</v>
      </c>
      <c r="E35" s="54">
        <f>E31*(1-ИТОГО!$L$10)</f>
        <v>13485</v>
      </c>
      <c r="F35" s="132"/>
      <c r="G35" s="132"/>
    </row>
    <row r="36" spans="1:7" ht="15.75" customHeight="1">
      <c r="A36" s="136"/>
      <c r="B36" s="136"/>
      <c r="C36" s="136"/>
      <c r="D36" s="44" t="str">
        <f>ИТОГО!$K$11</f>
        <v>451 000-600 000</v>
      </c>
      <c r="E36" s="54">
        <f>E31*(1-ИТОГО!$L$11)</f>
        <v>13175</v>
      </c>
      <c r="F36" s="132"/>
      <c r="G36" s="132"/>
    </row>
    <row r="37" spans="1:7" ht="15.75" customHeight="1">
      <c r="A37" s="136"/>
      <c r="B37" s="136"/>
      <c r="C37" s="136"/>
      <c r="D37" s="44" t="str">
        <f>ИТОГО!$K$12</f>
        <v>601 000 и выше</v>
      </c>
      <c r="E37" s="54">
        <f>E31*(1-ИТОГО!$L$12)</f>
        <v>12865</v>
      </c>
      <c r="F37" s="132"/>
      <c r="G37" s="132"/>
    </row>
  </sheetData>
  <mergeCells count="26">
    <mergeCell ref="A31:A37"/>
    <mergeCell ref="B31:B37"/>
    <mergeCell ref="C31:C37"/>
    <mergeCell ref="F31:F37"/>
    <mergeCell ref="G31:G37"/>
    <mergeCell ref="A24:A30"/>
    <mergeCell ref="B24:B30"/>
    <mergeCell ref="C24:C30"/>
    <mergeCell ref="F24:F30"/>
    <mergeCell ref="G24:G30"/>
    <mergeCell ref="A17:A23"/>
    <mergeCell ref="B17:B23"/>
    <mergeCell ref="C17:C23"/>
    <mergeCell ref="F17:F23"/>
    <mergeCell ref="G17:G23"/>
    <mergeCell ref="G3:G9"/>
    <mergeCell ref="A10:A16"/>
    <mergeCell ref="B10:B16"/>
    <mergeCell ref="C10:C16"/>
    <mergeCell ref="F10:F16"/>
    <mergeCell ref="G10:G16"/>
    <mergeCell ref="A1:E1"/>
    <mergeCell ref="A3:A9"/>
    <mergeCell ref="B3:B9"/>
    <mergeCell ref="C3:C9"/>
    <mergeCell ref="F3:F9"/>
  </mergeCells>
  <conditionalFormatting sqref="H3:I8">
    <cfRule type="expression" dxfId="8" priority="2">
      <formula>$H3=cur_label</formula>
    </cfRule>
  </conditionalFormatting>
  <conditionalFormatting sqref="D3:E37">
    <cfRule type="expression" dxfId="7" priority="3">
      <formula>AND($D3&lt;&gt;"",$D3=cur_label)</formula>
    </cfRule>
  </conditionalFormatting>
  <hyperlinks>
    <hyperlink ref="C3" r:id="rId1"/>
    <hyperlink ref="C10" r:id="rId2"/>
    <hyperlink ref="C17" r:id="rId3"/>
    <hyperlink ref="C24" r:id="rId4"/>
    <hyperlink ref="C31" r:id="rId5"/>
  </hyperlinks>
  <pageMargins left="0.7" right="0.7" top="0.75" bottom="0.75" header="0.511811023622047" footer="0.511811023622047"/>
  <pageSetup paperSize="9" fitToHeight="0" orientation="landscape" horizontalDpi="300" verticalDpi="300"/>
  <drawing r:id="rId6"/>
  <tableParts count="1">
    <tablePart r:id="rId7"/>
  </tableParts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3"/>
  <sheetViews>
    <sheetView zoomScaleNormal="100" workbookViewId="0">
      <pane ySplit="2" topLeftCell="A3" activePane="bottomLeft" state="frozen"/>
      <selection pane="bottomLeft" activeCell="C30" sqref="C30"/>
    </sheetView>
  </sheetViews>
  <sheetFormatPr defaultColWidth="8.5703125" defaultRowHeight="15"/>
  <cols>
    <col min="1" max="1" width="5.85546875" style="1" customWidth="1"/>
    <col min="2" max="5" width="17.42578125" style="1" customWidth="1"/>
    <col min="6" max="6" width="14.28515625" style="1" customWidth="1"/>
    <col min="7" max="7" width="13.42578125" style="1" customWidth="1"/>
    <col min="8" max="8" width="16.7109375" style="1" customWidth="1"/>
    <col min="9" max="9" width="15" style="1" customWidth="1"/>
    <col min="10" max="10" width="11.140625" style="1" customWidth="1"/>
    <col min="11" max="11" width="13.7109375" style="1" customWidth="1"/>
    <col min="13" max="13" width="18.5703125" style="1" customWidth="1"/>
    <col min="15" max="15" width="11" style="1" customWidth="1"/>
    <col min="16" max="16" width="14.28515625" style="1" customWidth="1"/>
  </cols>
  <sheetData>
    <row r="1" spans="1:16" ht="15.75" customHeight="1">
      <c r="A1" s="129" t="s">
        <v>239</v>
      </c>
      <c r="B1" s="129"/>
      <c r="C1" s="129"/>
      <c r="D1" s="129"/>
      <c r="E1" s="129"/>
    </row>
    <row r="2" spans="1:16" ht="15.75" customHeight="1">
      <c r="A2" s="63" t="s">
        <v>84</v>
      </c>
      <c r="B2" s="63" t="s">
        <v>73</v>
      </c>
      <c r="C2" s="63" t="s">
        <v>74</v>
      </c>
      <c r="D2" s="37" t="s">
        <v>75</v>
      </c>
      <c r="E2" s="63" t="s">
        <v>76</v>
      </c>
      <c r="F2" s="39" t="s">
        <v>77</v>
      </c>
      <c r="G2" s="40" t="s">
        <v>78</v>
      </c>
      <c r="H2" s="42" t="s">
        <v>78</v>
      </c>
      <c r="I2" s="42" t="s">
        <v>34</v>
      </c>
      <c r="J2" s="39" t="s">
        <v>79</v>
      </c>
      <c r="K2" s="40" t="s">
        <v>80</v>
      </c>
      <c r="L2" s="43" t="s">
        <v>34</v>
      </c>
      <c r="M2" s="40" t="s">
        <v>39</v>
      </c>
    </row>
    <row r="3" spans="1:16" ht="15.75" customHeight="1">
      <c r="A3" s="136">
        <v>1</v>
      </c>
      <c r="B3" s="136"/>
      <c r="C3" s="137" t="s">
        <v>240</v>
      </c>
      <c r="D3" s="73" t="str">
        <f>ИТОГО!$K$6</f>
        <v>0-30 000</v>
      </c>
      <c r="E3" s="46">
        <v>18072</v>
      </c>
      <c r="F3" s="132"/>
      <c r="G3" s="133">
        <f>E3*F3</f>
        <v>0</v>
      </c>
      <c r="H3" s="41" t="str">
        <f>ИТОГО!$K$7</f>
        <v>31 000-80 000</v>
      </c>
      <c r="I3" s="49">
        <f>ИТОГО!$L$7</f>
        <v>0.03</v>
      </c>
      <c r="J3" s="50">
        <f>F3+F10+F17</f>
        <v>0</v>
      </c>
      <c r="K3" s="51">
        <f>G3+G10+G17</f>
        <v>0</v>
      </c>
      <c r="L3" s="52">
        <f>cur_rate</f>
        <v>0</v>
      </c>
      <c r="M3" s="51">
        <f>K3-K3*L3</f>
        <v>0</v>
      </c>
    </row>
    <row r="4" spans="1:16" ht="15.75" customHeight="1">
      <c r="A4" s="136"/>
      <c r="B4" s="136"/>
      <c r="C4" s="136"/>
      <c r="D4" s="44" t="str">
        <f>ИТОГО!$K$7</f>
        <v>31 000-80 000</v>
      </c>
      <c r="E4" s="54">
        <f>E3*(1-ИТОГО!$L$7)</f>
        <v>17529.84</v>
      </c>
      <c r="F4" s="132"/>
      <c r="G4" s="132"/>
      <c r="H4" s="41" t="str">
        <f>ИТОГО!$K$8</f>
        <v>81 000-150 000</v>
      </c>
      <c r="I4" s="49">
        <f>ИТОГО!$L$8</f>
        <v>7.0000000000000007E-2</v>
      </c>
    </row>
    <row r="5" spans="1:16" ht="15.75" customHeight="1">
      <c r="A5" s="136"/>
      <c r="B5" s="136"/>
      <c r="C5" s="136"/>
      <c r="D5" s="44" t="str">
        <f>ИТОГО!$K$8</f>
        <v>81 000-150 000</v>
      </c>
      <c r="E5" s="54">
        <f>E3*(1-ИТОГО!$L$8)</f>
        <v>16806.96</v>
      </c>
      <c r="F5" s="132"/>
      <c r="G5" s="132"/>
      <c r="H5" s="41" t="str">
        <f>ИТОГО!$K$9</f>
        <v>151 000-300 000</v>
      </c>
      <c r="I5" s="49">
        <f>ИТОГО!$L$9</f>
        <v>0.1</v>
      </c>
    </row>
    <row r="6" spans="1:16" ht="15.75" customHeight="1">
      <c r="A6" s="136"/>
      <c r="B6" s="136"/>
      <c r="C6" s="136"/>
      <c r="D6" s="44" t="str">
        <f>ИТОГО!$K$9</f>
        <v>151 000-300 000</v>
      </c>
      <c r="E6" s="54">
        <f>E3*(1-ИТОГО!$L$9)</f>
        <v>16264.800000000001</v>
      </c>
      <c r="F6" s="132"/>
      <c r="G6" s="132"/>
      <c r="H6" s="41" t="str">
        <f>ИТОГО!$K$10</f>
        <v>301 000-450 000</v>
      </c>
      <c r="I6" s="49">
        <f>ИТОГО!$L$10</f>
        <v>0.13</v>
      </c>
    </row>
    <row r="7" spans="1:16" ht="15.75" customHeight="1">
      <c r="A7" s="136"/>
      <c r="B7" s="136"/>
      <c r="C7" s="136"/>
      <c r="D7" s="44" t="str">
        <f>ИТОГО!$K$10</f>
        <v>301 000-450 000</v>
      </c>
      <c r="E7" s="54">
        <f>E3*(1-ИТОГО!$L$10)</f>
        <v>15722.64</v>
      </c>
      <c r="F7" s="132"/>
      <c r="G7" s="132"/>
      <c r="H7" s="41" t="str">
        <f>ИТОГО!$K$11</f>
        <v>451 000-600 000</v>
      </c>
      <c r="I7" s="49">
        <f>ИТОГО!$L$11</f>
        <v>0.15</v>
      </c>
    </row>
    <row r="8" spans="1:16" ht="15.75" customHeight="1">
      <c r="A8" s="136"/>
      <c r="B8" s="136"/>
      <c r="C8" s="136"/>
      <c r="D8" s="44" t="str">
        <f>ИТОГО!$K$11</f>
        <v>451 000-600 000</v>
      </c>
      <c r="E8" s="54">
        <f>E3*(1-ИТОГО!$L$11)</f>
        <v>15361.199999999999</v>
      </c>
      <c r="F8" s="132"/>
      <c r="G8" s="132"/>
      <c r="H8" s="55" t="str">
        <f>ИТОГО!$K$12</f>
        <v>601 000 и выше</v>
      </c>
      <c r="I8" s="56">
        <f>ИТОГО!$L$12</f>
        <v>0.17</v>
      </c>
    </row>
    <row r="9" spans="1:16" ht="15.75" customHeight="1">
      <c r="A9" s="136"/>
      <c r="B9" s="136"/>
      <c r="C9" s="136"/>
      <c r="D9" s="44" t="str">
        <f>ИТОГО!$K$12</f>
        <v>601 000 и выше</v>
      </c>
      <c r="E9" s="54">
        <f>E3*(1-ИТОГО!$L$12)</f>
        <v>14999.759999999998</v>
      </c>
      <c r="F9" s="132"/>
      <c r="G9" s="132"/>
      <c r="H9" s="144" t="s">
        <v>241</v>
      </c>
      <c r="I9" s="144"/>
      <c r="J9" s="144"/>
      <c r="K9" s="144"/>
      <c r="L9" s="144"/>
      <c r="M9" s="144"/>
      <c r="N9" s="144"/>
    </row>
    <row r="10" spans="1:16" ht="15.75" customHeight="1">
      <c r="A10" s="136">
        <v>2</v>
      </c>
      <c r="B10" s="136"/>
      <c r="C10" s="137" t="s">
        <v>242</v>
      </c>
      <c r="D10" s="73" t="str">
        <f>ИТОГО!$K$6</f>
        <v>0-30 000</v>
      </c>
      <c r="E10" s="46">
        <v>19437</v>
      </c>
      <c r="F10" s="132"/>
      <c r="G10" s="133">
        <f>E10*F10</f>
        <v>0</v>
      </c>
      <c r="H10" s="84" t="s">
        <v>84</v>
      </c>
      <c r="I10" s="84" t="s">
        <v>74</v>
      </c>
      <c r="J10" s="84" t="s">
        <v>86</v>
      </c>
      <c r="K10" s="84" t="s">
        <v>87</v>
      </c>
      <c r="L10" s="84" t="s">
        <v>88</v>
      </c>
      <c r="M10" s="84" t="s">
        <v>89</v>
      </c>
      <c r="N10" s="84" t="s">
        <v>102</v>
      </c>
      <c r="O10" s="84" t="s">
        <v>91</v>
      </c>
      <c r="P10" s="84" t="s">
        <v>92</v>
      </c>
    </row>
    <row r="11" spans="1:16" ht="15.75" customHeight="1">
      <c r="A11" s="136"/>
      <c r="B11" s="136"/>
      <c r="C11" s="136"/>
      <c r="D11" s="44" t="str">
        <f>ИТОГО!$K$7</f>
        <v>31 000-80 000</v>
      </c>
      <c r="E11" s="54">
        <f>E10*(1-ИТОГО!$L$7)</f>
        <v>18853.89</v>
      </c>
      <c r="F11" s="132"/>
      <c r="G11" s="132"/>
      <c r="H11" s="84">
        <v>1</v>
      </c>
      <c r="I11" s="84" t="s">
        <v>240</v>
      </c>
      <c r="J11" s="84">
        <v>420</v>
      </c>
      <c r="K11" s="84">
        <v>420</v>
      </c>
      <c r="L11" s="84">
        <v>1050</v>
      </c>
      <c r="M11" s="85">
        <f>J11*K11*L11*0.000000001</f>
        <v>0.18522000000000002</v>
      </c>
      <c r="N11" s="85">
        <v>8.3000000000000007</v>
      </c>
      <c r="O11" s="85">
        <f>N11*F3</f>
        <v>0</v>
      </c>
      <c r="P11" s="85">
        <f>M11*F3</f>
        <v>0</v>
      </c>
    </row>
    <row r="12" spans="1:16" ht="15.75" customHeight="1">
      <c r="A12" s="136"/>
      <c r="B12" s="136"/>
      <c r="C12" s="136"/>
      <c r="D12" s="44" t="str">
        <f>ИТОГО!$K$8</f>
        <v>81 000-150 000</v>
      </c>
      <c r="E12" s="54">
        <f>E10*(1-ИТОГО!$L$8)</f>
        <v>18076.41</v>
      </c>
      <c r="F12" s="132"/>
      <c r="G12" s="132"/>
      <c r="H12" s="84">
        <v>2</v>
      </c>
      <c r="I12" s="84" t="s">
        <v>242</v>
      </c>
      <c r="J12" s="84">
        <v>420</v>
      </c>
      <c r="K12" s="84">
        <v>420</v>
      </c>
      <c r="L12" s="84">
        <v>1050</v>
      </c>
      <c r="M12" s="85">
        <f>J12*K12*L12*0.000000001</f>
        <v>0.18522000000000002</v>
      </c>
      <c r="N12" s="85">
        <v>9.1999999999999993</v>
      </c>
      <c r="O12" s="85">
        <f>N12*F10</f>
        <v>0</v>
      </c>
      <c r="P12" s="85">
        <f>M12*F10</f>
        <v>0</v>
      </c>
    </row>
    <row r="13" spans="1:16" ht="15.75" customHeight="1">
      <c r="A13" s="136"/>
      <c r="B13" s="136"/>
      <c r="C13" s="136"/>
      <c r="D13" s="44" t="str">
        <f>ИТОГО!$K$9</f>
        <v>151 000-300 000</v>
      </c>
      <c r="E13" s="54">
        <f>E10*(1-ИТОГО!$L$9)</f>
        <v>17493.3</v>
      </c>
      <c r="F13" s="132"/>
      <c r="G13" s="132"/>
      <c r="H13" s="84">
        <v>3</v>
      </c>
      <c r="I13" s="84" t="s">
        <v>243</v>
      </c>
      <c r="J13" s="84">
        <v>420</v>
      </c>
      <c r="K13" s="84">
        <v>420</v>
      </c>
      <c r="L13" s="84">
        <v>1200</v>
      </c>
      <c r="M13" s="85">
        <f>J13*K13*L13*0.000000001</f>
        <v>0.21168000000000001</v>
      </c>
      <c r="N13" s="86">
        <v>10.3</v>
      </c>
      <c r="O13" s="85">
        <f>N13*F17</f>
        <v>0</v>
      </c>
      <c r="P13" s="85">
        <f>M13*F17</f>
        <v>0</v>
      </c>
    </row>
    <row r="14" spans="1:16" ht="15.75" customHeight="1">
      <c r="A14" s="136"/>
      <c r="B14" s="136"/>
      <c r="C14" s="136"/>
      <c r="D14" s="44" t="str">
        <f>ИТОГО!$K$10</f>
        <v>301 000-450 000</v>
      </c>
      <c r="E14" s="54">
        <f>E10*(1-ИТОГО!$L$10)</f>
        <v>16910.189999999999</v>
      </c>
      <c r="F14" s="132"/>
      <c r="G14" s="132"/>
      <c r="N14" s="105" t="s">
        <v>100</v>
      </c>
      <c r="O14" s="91">
        <f>SUM(O11:O13)</f>
        <v>0</v>
      </c>
      <c r="P14" s="91">
        <f>SUM(P11:P13)</f>
        <v>0</v>
      </c>
    </row>
    <row r="15" spans="1:16" ht="15.75" customHeight="1">
      <c r="A15" s="136"/>
      <c r="B15" s="136"/>
      <c r="C15" s="136"/>
      <c r="D15" s="44" t="str">
        <f>ИТОГО!$K$11</f>
        <v>451 000-600 000</v>
      </c>
      <c r="E15" s="54">
        <f>E10*(1-ИТОГО!$L$11)</f>
        <v>16521.45</v>
      </c>
      <c r="F15" s="132"/>
      <c r="G15" s="132"/>
    </row>
    <row r="16" spans="1:16" ht="15.75" customHeight="1">
      <c r="A16" s="136"/>
      <c r="B16" s="136"/>
      <c r="C16" s="136"/>
      <c r="D16" s="44" t="str">
        <f>ИТОГО!$K$12</f>
        <v>601 000 и выше</v>
      </c>
      <c r="E16" s="54">
        <f>E10*(1-ИТОГО!$L$12)</f>
        <v>16132.71</v>
      </c>
      <c r="F16" s="132"/>
      <c r="G16" s="132"/>
      <c r="H16" s="87"/>
      <c r="I16" s="90" t="s">
        <v>101</v>
      </c>
      <c r="J16" s="87"/>
      <c r="K16" s="87"/>
      <c r="L16" s="87"/>
      <c r="M16" s="87"/>
    </row>
    <row r="17" spans="1:13" ht="15.75" customHeight="1">
      <c r="A17" s="136">
        <v>3</v>
      </c>
      <c r="B17" s="136"/>
      <c r="C17" s="137" t="s">
        <v>243</v>
      </c>
      <c r="D17" s="73" t="str">
        <f>ИТОГО!$K$6</f>
        <v>0-30 000</v>
      </c>
      <c r="E17" s="46">
        <v>20802</v>
      </c>
      <c r="F17" s="132"/>
      <c r="G17" s="133">
        <f>E17*F17</f>
        <v>0</v>
      </c>
      <c r="H17" s="84" t="s">
        <v>84</v>
      </c>
      <c r="I17" s="84" t="s">
        <v>74</v>
      </c>
      <c r="J17" s="84" t="s">
        <v>86</v>
      </c>
      <c r="K17" s="84" t="s">
        <v>87</v>
      </c>
      <c r="L17" s="84" t="s">
        <v>88</v>
      </c>
      <c r="M17" s="84" t="s">
        <v>102</v>
      </c>
    </row>
    <row r="18" spans="1:13" ht="15.75" customHeight="1">
      <c r="A18" s="136"/>
      <c r="B18" s="136"/>
      <c r="C18" s="136"/>
      <c r="D18" s="44" t="str">
        <f>ИТОГО!$K$7</f>
        <v>31 000-80 000</v>
      </c>
      <c r="E18" s="54">
        <f>E17*(1-ИТОГО!$L$7)</f>
        <v>20177.939999999999</v>
      </c>
      <c r="F18" s="132"/>
      <c r="G18" s="132"/>
      <c r="H18" s="84">
        <v>1</v>
      </c>
      <c r="I18" s="84" t="s">
        <v>240</v>
      </c>
      <c r="J18" s="84" t="s">
        <v>244</v>
      </c>
      <c r="K18" s="84" t="s">
        <v>245</v>
      </c>
      <c r="L18" s="84" t="s">
        <v>246</v>
      </c>
      <c r="M18" s="85">
        <v>7.1</v>
      </c>
    </row>
    <row r="19" spans="1:13" ht="15.75" customHeight="1">
      <c r="A19" s="136"/>
      <c r="B19" s="136"/>
      <c r="C19" s="136"/>
      <c r="D19" s="44" t="str">
        <f>ИТОГО!$K$8</f>
        <v>81 000-150 000</v>
      </c>
      <c r="E19" s="54">
        <f>E17*(1-ИТОГО!$L$8)</f>
        <v>19345.859999999997</v>
      </c>
      <c r="F19" s="132"/>
      <c r="G19" s="132"/>
      <c r="H19" s="84">
        <v>2</v>
      </c>
      <c r="I19" s="84" t="s">
        <v>242</v>
      </c>
      <c r="J19" s="84" t="s">
        <v>244</v>
      </c>
      <c r="K19" s="84" t="s">
        <v>245</v>
      </c>
      <c r="L19" s="84" t="s">
        <v>247</v>
      </c>
      <c r="M19" s="85">
        <v>7.9</v>
      </c>
    </row>
    <row r="20" spans="1:13" ht="15.75" customHeight="1">
      <c r="A20" s="136"/>
      <c r="B20" s="136"/>
      <c r="C20" s="136"/>
      <c r="D20" s="44" t="str">
        <f>ИТОГО!$K$9</f>
        <v>151 000-300 000</v>
      </c>
      <c r="E20" s="54">
        <f>E17*(1-ИТОГО!$L$9)</f>
        <v>18721.8</v>
      </c>
      <c r="F20" s="132"/>
      <c r="G20" s="132"/>
      <c r="H20" s="84">
        <v>3</v>
      </c>
      <c r="I20" s="84" t="s">
        <v>243</v>
      </c>
      <c r="J20" s="84" t="s">
        <v>244</v>
      </c>
      <c r="K20" s="84" t="s">
        <v>245</v>
      </c>
      <c r="L20" s="84" t="s">
        <v>248</v>
      </c>
      <c r="M20" s="85">
        <v>8.6999999999999993</v>
      </c>
    </row>
    <row r="21" spans="1:13" ht="15.75" customHeight="1">
      <c r="A21" s="136"/>
      <c r="B21" s="136"/>
      <c r="C21" s="136"/>
      <c r="D21" s="44" t="str">
        <f>ИТОГО!$K$10</f>
        <v>301 000-450 000</v>
      </c>
      <c r="E21" s="54">
        <f>E17*(1-ИТОГО!$L$10)</f>
        <v>18097.740000000002</v>
      </c>
      <c r="F21" s="132"/>
      <c r="G21" s="132"/>
    </row>
    <row r="22" spans="1:13" ht="15.75" customHeight="1">
      <c r="A22" s="136"/>
      <c r="B22" s="136"/>
      <c r="C22" s="136"/>
      <c r="D22" s="44" t="str">
        <f>ИТОГО!$K$11</f>
        <v>451 000-600 000</v>
      </c>
      <c r="E22" s="54">
        <f>E17*(1-ИТОГО!$L$11)</f>
        <v>17681.7</v>
      </c>
      <c r="F22" s="132"/>
      <c r="G22" s="132"/>
    </row>
    <row r="23" spans="1:13" ht="15.75" customHeight="1">
      <c r="A23" s="136"/>
      <c r="B23" s="136"/>
      <c r="C23" s="136"/>
      <c r="D23" s="44" t="str">
        <f>ИТОГО!$K$12</f>
        <v>601 000 и выше</v>
      </c>
      <c r="E23" s="54">
        <f>E17*(1-ИТОГО!$L$12)</f>
        <v>17265.66</v>
      </c>
      <c r="F23" s="132"/>
      <c r="G23" s="132"/>
    </row>
  </sheetData>
  <mergeCells count="17">
    <mergeCell ref="A17:A23"/>
    <mergeCell ref="B17:B23"/>
    <mergeCell ref="C17:C23"/>
    <mergeCell ref="F17:F23"/>
    <mergeCell ref="G17:G23"/>
    <mergeCell ref="G3:G9"/>
    <mergeCell ref="H9:N9"/>
    <mergeCell ref="A10:A16"/>
    <mergeCell ref="B10:B16"/>
    <mergeCell ref="C10:C16"/>
    <mergeCell ref="F10:F16"/>
    <mergeCell ref="G10:G16"/>
    <mergeCell ref="A1:E1"/>
    <mergeCell ref="A3:A9"/>
    <mergeCell ref="B3:B9"/>
    <mergeCell ref="C3:C9"/>
    <mergeCell ref="F3:F9"/>
  </mergeCells>
  <conditionalFormatting sqref="H3:I8">
    <cfRule type="expression" dxfId="6" priority="2">
      <formula>$H3=cur_label</formula>
    </cfRule>
  </conditionalFormatting>
  <conditionalFormatting sqref="D3:E23">
    <cfRule type="expression" dxfId="5" priority="3">
      <formula>AND($D3&lt;&gt;"",$D3=cur_label)</formula>
    </cfRule>
  </conditionalFormatting>
  <hyperlinks>
    <hyperlink ref="C3" r:id="rId1"/>
    <hyperlink ref="C10" r:id="rId2"/>
    <hyperlink ref="C17" r:id="rId3"/>
  </hyperlinks>
  <pageMargins left="0.7" right="0.7" top="0.75" bottom="0.75" header="0.511811023622047" footer="0.511811023622047"/>
  <pageSetup paperSize="9" fitToHeight="0" orientation="landscape" horizontalDpi="300" verticalDpi="300"/>
  <drawing r:id="rId4"/>
  <tableParts count="1">
    <tablePart r:id="rId5"/>
  </tableParts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2"/>
  <sheetViews>
    <sheetView zoomScaleNormal="100" workbookViewId="0">
      <pane ySplit="2" topLeftCell="A3" activePane="bottomLeft" state="frozen"/>
      <selection pane="bottomLeft" activeCell="M7" sqref="M7"/>
    </sheetView>
  </sheetViews>
  <sheetFormatPr defaultColWidth="8.5703125" defaultRowHeight="15"/>
  <cols>
    <col min="1" max="1" width="5.85546875" style="1" customWidth="1"/>
    <col min="2" max="2" width="17.42578125" style="1" customWidth="1"/>
    <col min="3" max="3" width="24.85546875" style="1" customWidth="1"/>
    <col min="4" max="4" width="12.5703125" style="1" customWidth="1"/>
    <col min="5" max="5" width="17.42578125" style="1" customWidth="1"/>
    <col min="6" max="6" width="14" style="1" customWidth="1"/>
    <col min="7" max="7" width="14.28515625" style="1" customWidth="1"/>
    <col min="8" max="8" width="14.5703125" style="1" customWidth="1"/>
    <col min="10" max="10" width="16.7109375" style="1" customWidth="1"/>
    <col min="11" max="11" width="13.7109375" style="1" customWidth="1"/>
    <col min="13" max="13" width="19.140625" style="1" customWidth="1"/>
    <col min="14" max="14" width="13" style="1" customWidth="1"/>
    <col min="15" max="20" width="15" style="1" customWidth="1"/>
  </cols>
  <sheetData>
    <row r="1" spans="1:20" ht="15.75" customHeight="1">
      <c r="A1" s="129" t="s">
        <v>66</v>
      </c>
      <c r="B1" s="129"/>
      <c r="C1" s="129"/>
      <c r="D1" s="129"/>
      <c r="E1" s="129"/>
    </row>
    <row r="2" spans="1:20" ht="30" customHeight="1">
      <c r="A2" s="99" t="s">
        <v>84</v>
      </c>
      <c r="B2" s="99" t="s">
        <v>73</v>
      </c>
      <c r="C2" s="99" t="s">
        <v>74</v>
      </c>
      <c r="D2" s="99" t="s">
        <v>213</v>
      </c>
      <c r="E2" s="99" t="s">
        <v>76</v>
      </c>
      <c r="F2" s="63" t="s">
        <v>214</v>
      </c>
      <c r="G2" s="39" t="s">
        <v>77</v>
      </c>
      <c r="H2" s="40" t="s">
        <v>78</v>
      </c>
      <c r="J2" s="39" t="s">
        <v>79</v>
      </c>
      <c r="K2" s="40" t="s">
        <v>80</v>
      </c>
      <c r="L2" s="43" t="s">
        <v>34</v>
      </c>
      <c r="M2" s="40" t="s">
        <v>39</v>
      </c>
      <c r="N2" s="150" t="s">
        <v>215</v>
      </c>
      <c r="O2" s="100" t="str">
        <f>ИТОГО!$K$7</f>
        <v>31 000-80 000</v>
      </c>
      <c r="P2" s="100" t="str">
        <f>ИТОГО!$K$8</f>
        <v>81 000-150 000</v>
      </c>
      <c r="Q2" s="100" t="str">
        <f>ИТОГО!$K$9</f>
        <v>151 000-300 000</v>
      </c>
      <c r="R2" s="100" t="str">
        <f>ИТОГО!$K$10</f>
        <v>301 000-450 000</v>
      </c>
      <c r="S2" s="100" t="str">
        <f>ИТОГО!$K$11</f>
        <v>451 000-600 000</v>
      </c>
      <c r="T2" s="100" t="str">
        <f>ИТОГО!$K$12</f>
        <v>601 000 и выше</v>
      </c>
    </row>
    <row r="3" spans="1:20" ht="57.75" customHeight="1">
      <c r="A3" s="64">
        <v>1</v>
      </c>
      <c r="B3" s="64"/>
      <c r="C3" s="65" t="s">
        <v>249</v>
      </c>
      <c r="D3" s="64" t="s">
        <v>217</v>
      </c>
      <c r="E3" s="54">
        <v>1650</v>
      </c>
      <c r="F3" s="54">
        <f t="shared" ref="F3:F13" si="0">E3*(1-cur_rate)</f>
        <v>1650</v>
      </c>
      <c r="G3" s="47"/>
      <c r="H3" s="48">
        <f t="shared" ref="H3:H13" si="1">E3*G3</f>
        <v>0</v>
      </c>
      <c r="J3" s="47">
        <f>G3+G4+G5+G6+G7+G8+G9+G10+G11+G12+G13+G15+G16+G17+G19+G20+G21+G22+G23+G24+G25+G30+G31+G32</f>
        <v>0</v>
      </c>
      <c r="K3" s="48">
        <f>H3+H4+H5+H6+H7+H8+H9+H10+H11+H12+H13+H15+H16+H17+H19+H20+H21+H22+H23+H24+H25+H30+H31+H32</f>
        <v>0</v>
      </c>
      <c r="L3" s="102">
        <f>cur_rate</f>
        <v>0</v>
      </c>
      <c r="M3" s="48">
        <f>K3-K3*L3</f>
        <v>0</v>
      </c>
      <c r="N3" s="150"/>
      <c r="O3" s="103">
        <f>ИТОГО!$L$7</f>
        <v>0.03</v>
      </c>
      <c r="P3" s="103">
        <f>ИТОГО!$L$8</f>
        <v>7.0000000000000007E-2</v>
      </c>
      <c r="Q3" s="103">
        <f>ИТОГО!$L$9</f>
        <v>0.1</v>
      </c>
      <c r="R3" s="103">
        <f>ИТОГО!$L$10</f>
        <v>0.13</v>
      </c>
      <c r="S3" s="103">
        <f>ИТОГО!$L$11</f>
        <v>0.15</v>
      </c>
      <c r="T3" s="103">
        <f>ИТОГО!$L$12</f>
        <v>0.17</v>
      </c>
    </row>
    <row r="4" spans="1:20" ht="60.75" customHeight="1">
      <c r="A4" s="64">
        <v>2</v>
      </c>
      <c r="B4" s="64"/>
      <c r="C4" s="65" t="s">
        <v>250</v>
      </c>
      <c r="D4" s="64" t="s">
        <v>217</v>
      </c>
      <c r="E4" s="54">
        <v>1600</v>
      </c>
      <c r="F4" s="54">
        <f t="shared" si="0"/>
        <v>1600</v>
      </c>
      <c r="G4" s="47"/>
      <c r="H4" s="48">
        <f t="shared" si="1"/>
        <v>0</v>
      </c>
    </row>
    <row r="5" spans="1:20" ht="48.75" customHeight="1">
      <c r="A5" s="64">
        <v>3</v>
      </c>
      <c r="B5" s="64"/>
      <c r="C5" s="65" t="s">
        <v>251</v>
      </c>
      <c r="D5" s="64" t="s">
        <v>217</v>
      </c>
      <c r="E5" s="54">
        <v>1950</v>
      </c>
      <c r="F5" s="54">
        <f t="shared" si="0"/>
        <v>1950</v>
      </c>
      <c r="G5" s="47"/>
      <c r="H5" s="48">
        <f t="shared" si="1"/>
        <v>0</v>
      </c>
    </row>
    <row r="6" spans="1:20" ht="57" customHeight="1">
      <c r="A6" s="64">
        <v>4</v>
      </c>
      <c r="B6" s="64"/>
      <c r="C6" s="65" t="s">
        <v>252</v>
      </c>
      <c r="D6" s="64" t="s">
        <v>217</v>
      </c>
      <c r="E6" s="54">
        <v>700</v>
      </c>
      <c r="F6" s="54">
        <f t="shared" si="0"/>
        <v>700</v>
      </c>
      <c r="G6" s="47"/>
      <c r="H6" s="48">
        <f t="shared" si="1"/>
        <v>0</v>
      </c>
    </row>
    <row r="7" spans="1:20" ht="32.25" customHeight="1">
      <c r="A7" s="64">
        <v>5</v>
      </c>
      <c r="B7" s="64"/>
      <c r="C7" s="65" t="s">
        <v>253</v>
      </c>
      <c r="D7" s="64" t="s">
        <v>217</v>
      </c>
      <c r="E7" s="54">
        <v>800</v>
      </c>
      <c r="F7" s="54">
        <f t="shared" si="0"/>
        <v>800</v>
      </c>
      <c r="G7" s="47"/>
      <c r="H7" s="48">
        <f t="shared" si="1"/>
        <v>0</v>
      </c>
    </row>
    <row r="8" spans="1:20" ht="45.75" customHeight="1">
      <c r="A8" s="64">
        <v>6</v>
      </c>
      <c r="B8" s="64"/>
      <c r="C8" s="65" t="s">
        <v>254</v>
      </c>
      <c r="D8" s="64" t="s">
        <v>217</v>
      </c>
      <c r="E8" s="54">
        <v>1700</v>
      </c>
      <c r="F8" s="54">
        <f t="shared" si="0"/>
        <v>1700</v>
      </c>
      <c r="G8" s="47"/>
      <c r="H8" s="48">
        <f t="shared" si="1"/>
        <v>0</v>
      </c>
    </row>
    <row r="9" spans="1:20" ht="45.75" customHeight="1">
      <c r="A9" s="64">
        <v>7</v>
      </c>
      <c r="B9" s="64"/>
      <c r="C9" s="65" t="s">
        <v>255</v>
      </c>
      <c r="D9" s="64" t="s">
        <v>217</v>
      </c>
      <c r="E9" s="54">
        <v>750</v>
      </c>
      <c r="F9" s="54">
        <f t="shared" si="0"/>
        <v>750</v>
      </c>
      <c r="G9" s="47"/>
      <c r="H9" s="48">
        <f t="shared" si="1"/>
        <v>0</v>
      </c>
    </row>
    <row r="10" spans="1:20" ht="39" customHeight="1">
      <c r="A10" s="64">
        <v>8</v>
      </c>
      <c r="B10" s="64"/>
      <c r="C10" s="65" t="s">
        <v>256</v>
      </c>
      <c r="D10" s="64" t="s">
        <v>217</v>
      </c>
      <c r="E10" s="54">
        <v>800</v>
      </c>
      <c r="F10" s="54">
        <f t="shared" si="0"/>
        <v>800</v>
      </c>
      <c r="G10" s="47"/>
      <c r="H10" s="48">
        <f t="shared" si="1"/>
        <v>0</v>
      </c>
    </row>
    <row r="11" spans="1:20" ht="64.5" customHeight="1">
      <c r="A11" s="64">
        <v>9</v>
      </c>
      <c r="B11" s="64"/>
      <c r="C11" s="65" t="s">
        <v>257</v>
      </c>
      <c r="D11" s="64" t="s">
        <v>217</v>
      </c>
      <c r="E11" s="54">
        <v>5031</v>
      </c>
      <c r="F11" s="54">
        <f t="shared" si="0"/>
        <v>5031</v>
      </c>
      <c r="G11" s="47"/>
      <c r="H11" s="48">
        <f t="shared" si="1"/>
        <v>0</v>
      </c>
    </row>
    <row r="12" spans="1:20" ht="66.75" customHeight="1">
      <c r="A12" s="64">
        <v>10</v>
      </c>
      <c r="B12" s="64"/>
      <c r="C12" s="65" t="s">
        <v>258</v>
      </c>
      <c r="D12" s="64" t="s">
        <v>217</v>
      </c>
      <c r="E12" s="54">
        <v>4680</v>
      </c>
      <c r="F12" s="54">
        <f t="shared" si="0"/>
        <v>4680</v>
      </c>
      <c r="G12" s="47"/>
      <c r="H12" s="48">
        <f t="shared" si="1"/>
        <v>0</v>
      </c>
    </row>
    <row r="13" spans="1:20" ht="61.5" customHeight="1">
      <c r="A13" s="64">
        <v>11</v>
      </c>
      <c r="C13" s="65" t="s">
        <v>259</v>
      </c>
      <c r="D13" s="64" t="s">
        <v>217</v>
      </c>
      <c r="E13" s="54">
        <v>2800</v>
      </c>
      <c r="F13" s="54">
        <f t="shared" si="0"/>
        <v>2800</v>
      </c>
      <c r="G13" s="47"/>
      <c r="H13" s="48">
        <f t="shared" si="1"/>
        <v>0</v>
      </c>
    </row>
    <row r="14" spans="1:20" ht="45.75" customHeight="1">
      <c r="A14" s="64">
        <v>12</v>
      </c>
      <c r="B14" s="64"/>
      <c r="C14" s="64" t="s">
        <v>260</v>
      </c>
      <c r="D14" s="64" t="s">
        <v>61</v>
      </c>
      <c r="E14" s="54" t="s">
        <v>61</v>
      </c>
      <c r="F14" s="119"/>
    </row>
    <row r="15" spans="1:20" ht="57" customHeight="1">
      <c r="A15" s="64" t="s">
        <v>61</v>
      </c>
      <c r="B15" s="64"/>
      <c r="C15" s="65" t="s">
        <v>261</v>
      </c>
      <c r="D15" s="64" t="s">
        <v>217</v>
      </c>
      <c r="E15" s="54">
        <v>330</v>
      </c>
      <c r="F15" s="54">
        <f>E15*(1-cur_rate)</f>
        <v>330</v>
      </c>
      <c r="G15" s="47"/>
      <c r="H15" s="48">
        <f>E15*G15</f>
        <v>0</v>
      </c>
    </row>
    <row r="16" spans="1:20" ht="66.75" customHeight="1">
      <c r="A16" s="64" t="s">
        <v>61</v>
      </c>
      <c r="B16" s="64"/>
      <c r="C16" s="65" t="s">
        <v>262</v>
      </c>
      <c r="D16" s="64" t="s">
        <v>217</v>
      </c>
      <c r="E16" s="54">
        <v>630</v>
      </c>
      <c r="F16" s="54">
        <f>E16*(1-cur_rate)</f>
        <v>630</v>
      </c>
      <c r="G16" s="47"/>
      <c r="H16" s="48">
        <f>E16*G16</f>
        <v>0</v>
      </c>
    </row>
    <row r="17" spans="1:8" ht="64.5" customHeight="1">
      <c r="A17" s="64" t="s">
        <v>61</v>
      </c>
      <c r="B17" s="64"/>
      <c r="C17" s="65" t="s">
        <v>263</v>
      </c>
      <c r="D17" s="64" t="s">
        <v>217</v>
      </c>
      <c r="E17" s="54">
        <v>700</v>
      </c>
      <c r="F17" s="54">
        <f>E17*(1-cur_rate)</f>
        <v>700</v>
      </c>
      <c r="G17" s="47"/>
      <c r="H17" s="48">
        <f>E17*G17</f>
        <v>0</v>
      </c>
    </row>
    <row r="18" spans="1:8" ht="45.75" customHeight="1">
      <c r="A18" s="64">
        <v>13</v>
      </c>
      <c r="B18" s="64"/>
      <c r="C18" s="64" t="s">
        <v>264</v>
      </c>
      <c r="D18" s="64" t="s">
        <v>61</v>
      </c>
      <c r="E18" s="64" t="s">
        <v>61</v>
      </c>
      <c r="F18" s="119"/>
    </row>
    <row r="19" spans="1:8" ht="63.75" customHeight="1">
      <c r="A19" s="64" t="s">
        <v>61</v>
      </c>
      <c r="B19" s="64"/>
      <c r="C19" s="65" t="s">
        <v>265</v>
      </c>
      <c r="D19" s="64" t="s">
        <v>217</v>
      </c>
      <c r="E19" s="54">
        <v>270</v>
      </c>
      <c r="F19" s="54">
        <f>E19*(1-cur_rate)</f>
        <v>270</v>
      </c>
      <c r="G19" s="47"/>
      <c r="H19" s="48">
        <f t="shared" ref="H19:H25" si="2">E19*G19</f>
        <v>0</v>
      </c>
    </row>
    <row r="20" spans="1:8" ht="64.5" customHeight="1">
      <c r="A20" s="64" t="s">
        <v>61</v>
      </c>
      <c r="B20" s="64"/>
      <c r="C20" s="65" t="s">
        <v>266</v>
      </c>
      <c r="D20" s="64" t="s">
        <v>217</v>
      </c>
      <c r="E20" s="54">
        <v>320</v>
      </c>
      <c r="F20" s="54">
        <f>E20*(1-cur_rate)</f>
        <v>320</v>
      </c>
      <c r="G20" s="47"/>
      <c r="H20" s="48">
        <f t="shared" si="2"/>
        <v>0</v>
      </c>
    </row>
    <row r="21" spans="1:8" ht="97.5" customHeight="1">
      <c r="A21" s="64">
        <v>14</v>
      </c>
      <c r="B21" s="64"/>
      <c r="C21" s="65" t="s">
        <v>267</v>
      </c>
      <c r="D21" s="64" t="s">
        <v>217</v>
      </c>
      <c r="E21" s="54">
        <v>500</v>
      </c>
      <c r="F21" s="54">
        <f>E21*(1-cur_rate)</f>
        <v>500</v>
      </c>
      <c r="G21" s="47"/>
      <c r="H21" s="48">
        <f t="shared" si="2"/>
        <v>0</v>
      </c>
    </row>
    <row r="22" spans="1:8" ht="91.5" customHeight="1">
      <c r="A22" s="64">
        <v>15</v>
      </c>
      <c r="B22" s="64"/>
      <c r="C22" s="65" t="s">
        <v>268</v>
      </c>
      <c r="D22" s="64" t="s">
        <v>217</v>
      </c>
      <c r="E22" s="54"/>
      <c r="F22" s="119"/>
      <c r="G22" s="47"/>
      <c r="H22" s="48">
        <f t="shared" si="2"/>
        <v>0</v>
      </c>
    </row>
    <row r="23" spans="1:8" ht="66.75" customHeight="1">
      <c r="A23" s="64">
        <v>16</v>
      </c>
      <c r="B23" s="64"/>
      <c r="C23" s="65" t="s">
        <v>269</v>
      </c>
      <c r="D23" s="64" t="s">
        <v>270</v>
      </c>
      <c r="E23" s="54">
        <v>9500</v>
      </c>
      <c r="F23" s="54">
        <f>E23*(1-cur_rate)</f>
        <v>9500</v>
      </c>
      <c r="G23" s="47"/>
      <c r="H23" s="48">
        <f t="shared" si="2"/>
        <v>0</v>
      </c>
    </row>
    <row r="24" spans="1:8" ht="72.75" customHeight="1">
      <c r="A24" s="64">
        <v>17</v>
      </c>
      <c r="B24" s="64"/>
      <c r="C24" s="106" t="s">
        <v>271</v>
      </c>
      <c r="D24" s="64" t="s">
        <v>217</v>
      </c>
      <c r="E24" s="54">
        <v>490</v>
      </c>
      <c r="F24" s="54">
        <f>E24*(1-cur_rate)</f>
        <v>490</v>
      </c>
      <c r="G24" s="47"/>
      <c r="H24" s="48">
        <f t="shared" si="2"/>
        <v>0</v>
      </c>
    </row>
    <row r="25" spans="1:8" ht="75.75" customHeight="1">
      <c r="A25" s="64">
        <v>18</v>
      </c>
      <c r="B25" s="64"/>
      <c r="C25" s="65" t="s">
        <v>272</v>
      </c>
      <c r="D25" s="64" t="s">
        <v>217</v>
      </c>
      <c r="E25" s="54">
        <v>2000</v>
      </c>
      <c r="F25" s="54">
        <f>E25*(1-cur_rate)</f>
        <v>2000</v>
      </c>
      <c r="G25" s="47"/>
      <c r="H25" s="48">
        <f t="shared" si="2"/>
        <v>0</v>
      </c>
    </row>
    <row r="26" spans="1:8" ht="29.25" customHeight="1">
      <c r="A26" s="107"/>
      <c r="B26" s="107"/>
      <c r="C26" s="107"/>
      <c r="D26" s="107"/>
      <c r="E26" s="108"/>
      <c r="F26" s="119"/>
    </row>
    <row r="27" spans="1:8" hidden="1">
      <c r="A27" s="36"/>
      <c r="B27" s="36"/>
      <c r="C27" s="36"/>
      <c r="D27" s="36"/>
      <c r="E27" s="36"/>
      <c r="F27" s="119"/>
    </row>
    <row r="28" spans="1:8" ht="15.75" customHeight="1">
      <c r="A28" s="151" t="s">
        <v>273</v>
      </c>
      <c r="B28" s="151"/>
      <c r="C28" s="151"/>
      <c r="D28" s="151"/>
      <c r="E28" s="151"/>
      <c r="F28" s="119"/>
    </row>
    <row r="29" spans="1:8" ht="15.75" customHeight="1">
      <c r="A29" s="99" t="s">
        <v>84</v>
      </c>
      <c r="B29" s="99"/>
      <c r="C29" s="99" t="s">
        <v>74</v>
      </c>
      <c r="D29" s="99" t="s">
        <v>77</v>
      </c>
      <c r="E29" s="99" t="s">
        <v>274</v>
      </c>
      <c r="F29" s="119"/>
      <c r="G29" s="39" t="s">
        <v>77</v>
      </c>
      <c r="H29" s="40" t="s">
        <v>78</v>
      </c>
    </row>
    <row r="30" spans="1:8" ht="89.25" customHeight="1">
      <c r="A30" s="109">
        <v>1</v>
      </c>
      <c r="B30" s="109"/>
      <c r="C30" s="110" t="s">
        <v>275</v>
      </c>
      <c r="D30" s="109" t="s">
        <v>276</v>
      </c>
      <c r="E30" s="111">
        <v>850</v>
      </c>
      <c r="F30" s="111">
        <f>E30*(1-cur_rate)</f>
        <v>850</v>
      </c>
      <c r="G30" s="47"/>
      <c r="H30" s="48">
        <f>E30*G30</f>
        <v>0</v>
      </c>
    </row>
    <row r="31" spans="1:8" ht="112.5" customHeight="1">
      <c r="A31" s="109">
        <v>2</v>
      </c>
      <c r="B31" s="109"/>
      <c r="C31" s="110" t="s">
        <v>277</v>
      </c>
      <c r="D31" s="109" t="s">
        <v>276</v>
      </c>
      <c r="E31" s="111">
        <v>980</v>
      </c>
      <c r="F31" s="111">
        <f>E31*(1-cur_rate)</f>
        <v>980</v>
      </c>
      <c r="G31" s="47"/>
      <c r="H31" s="48">
        <f>E31*G31</f>
        <v>0</v>
      </c>
    </row>
    <row r="32" spans="1:8" ht="105.75" customHeight="1">
      <c r="A32" s="109">
        <v>3</v>
      </c>
      <c r="B32" s="109"/>
      <c r="C32" s="110" t="s">
        <v>278</v>
      </c>
      <c r="D32" s="109" t="s">
        <v>276</v>
      </c>
      <c r="E32" s="111">
        <v>1200</v>
      </c>
      <c r="F32" s="111">
        <f>E32*(1-cur_rate)</f>
        <v>1200</v>
      </c>
      <c r="G32" s="47"/>
      <c r="H32" s="48">
        <f>E32*G32</f>
        <v>0</v>
      </c>
    </row>
  </sheetData>
  <mergeCells count="3">
    <mergeCell ref="A1:E1"/>
    <mergeCell ref="N2:N3"/>
    <mergeCell ref="A28:E28"/>
  </mergeCells>
  <conditionalFormatting sqref="O2:T3">
    <cfRule type="expression" dxfId="4" priority="2">
      <formula>O$2=cur_label</formula>
    </cfRule>
  </conditionalFormatting>
  <conditionalFormatting sqref="F3:F32">
    <cfRule type="expression" dxfId="3" priority="3">
      <formula>AND(cur_rate&gt;0,$F3&lt;&gt;"")</formula>
    </cfRule>
  </conditionalFormatting>
  <hyperlinks>
    <hyperlink ref="C3" r:id="rId1"/>
    <hyperlink ref="C4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  <hyperlink ref="C12" r:id="rId10"/>
    <hyperlink ref="C13" r:id="rId11"/>
    <hyperlink ref="C15" r:id="rId12"/>
    <hyperlink ref="C16" r:id="rId13"/>
    <hyperlink ref="C17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30" r:id="rId22"/>
    <hyperlink ref="C31" r:id="rId23"/>
    <hyperlink ref="C32" r:id="rId24"/>
  </hyperlinks>
  <pageMargins left="0.7" right="0.7" top="0.75" bottom="0.75" header="0.511811023622047" footer="0.511811023622047"/>
  <pageSetup paperSize="9" fitToHeight="0" orientation="landscape" horizontalDpi="300" verticalDpi="300"/>
  <rowBreaks count="1" manualBreakCount="1">
    <brk id="27" max="16383" man="1"/>
  </rowBreaks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zoomScaleNormal="100" workbookViewId="0">
      <pane ySplit="1" topLeftCell="A2" activePane="bottomLeft" state="frozen"/>
      <selection pane="bottomLeft" activeCell="H2" sqref="H2"/>
    </sheetView>
  </sheetViews>
  <sheetFormatPr defaultColWidth="8.5703125" defaultRowHeight="15"/>
  <cols>
    <col min="1" max="1" width="5.85546875" style="1" customWidth="1"/>
    <col min="2" max="2" width="14.28515625" style="1" customWidth="1"/>
    <col min="3" max="3" width="17.5703125" style="1" customWidth="1"/>
    <col min="4" max="4" width="48.28515625" style="1" customWidth="1"/>
    <col min="5" max="5" width="9" style="1" customWidth="1"/>
    <col min="6" max="6" width="11.7109375" style="1" customWidth="1"/>
    <col min="7" max="7" width="14" style="1" customWidth="1"/>
    <col min="8" max="8" width="12.85546875" style="1" customWidth="1"/>
    <col min="9" max="9" width="10.42578125" style="1" customWidth="1"/>
    <col min="11" max="11" width="11.140625" style="1" customWidth="1"/>
    <col min="12" max="12" width="13.7109375" style="1" customWidth="1"/>
    <col min="13" max="13" width="10" style="1" customWidth="1"/>
    <col min="14" max="14" width="18" style="1" customWidth="1"/>
  </cols>
  <sheetData>
    <row r="1" spans="1:14" ht="30.75" customHeight="1">
      <c r="A1" s="99" t="s">
        <v>84</v>
      </c>
      <c r="B1" s="99" t="s">
        <v>279</v>
      </c>
      <c r="C1" s="99" t="s">
        <v>73</v>
      </c>
      <c r="D1" s="99" t="s">
        <v>74</v>
      </c>
      <c r="E1" s="99" t="s">
        <v>213</v>
      </c>
      <c r="F1" s="99" t="s">
        <v>76</v>
      </c>
      <c r="G1" s="63" t="s">
        <v>214</v>
      </c>
      <c r="H1" s="39" t="s">
        <v>77</v>
      </c>
      <c r="I1" s="40" t="s">
        <v>78</v>
      </c>
      <c r="K1" s="39" t="s">
        <v>79</v>
      </c>
      <c r="L1" s="40" t="s">
        <v>80</v>
      </c>
      <c r="M1" s="39" t="s">
        <v>34</v>
      </c>
      <c r="N1" s="40" t="s">
        <v>39</v>
      </c>
    </row>
    <row r="2" spans="1:14" ht="102" customHeight="1">
      <c r="A2" s="64">
        <v>1</v>
      </c>
      <c r="B2" s="64" t="s">
        <v>280</v>
      </c>
      <c r="C2" s="64"/>
      <c r="D2" s="112" t="s">
        <v>281</v>
      </c>
      <c r="E2" s="64" t="s">
        <v>217</v>
      </c>
      <c r="F2" s="54">
        <v>2700</v>
      </c>
      <c r="G2" s="54">
        <f t="shared" ref="G2:G11" si="0">F2*(1-cur_rate)</f>
        <v>2700</v>
      </c>
      <c r="H2" s="47"/>
      <c r="I2" s="48">
        <f t="shared" ref="I2:I11" si="1">F2*H2</f>
        <v>0</v>
      </c>
      <c r="K2" s="47">
        <f>SUM(H2:H11)</f>
        <v>0</v>
      </c>
      <c r="L2" s="48">
        <f>SUM(I2:I11)</f>
        <v>0</v>
      </c>
      <c r="M2" s="52">
        <f>cur_rate</f>
        <v>0</v>
      </c>
      <c r="N2" s="48">
        <f>L2-L2*M2</f>
        <v>0</v>
      </c>
    </row>
    <row r="3" spans="1:14" ht="102" customHeight="1">
      <c r="A3" s="64">
        <v>2</v>
      </c>
      <c r="B3" s="64" t="s">
        <v>282</v>
      </c>
      <c r="C3" s="64"/>
      <c r="D3" s="112" t="s">
        <v>283</v>
      </c>
      <c r="E3" s="64" t="s">
        <v>217</v>
      </c>
      <c r="F3" s="54">
        <v>3200</v>
      </c>
      <c r="G3" s="54">
        <f t="shared" si="0"/>
        <v>3200</v>
      </c>
      <c r="H3" s="47"/>
      <c r="I3" s="48">
        <f t="shared" si="1"/>
        <v>0</v>
      </c>
    </row>
    <row r="4" spans="1:14" ht="102" customHeight="1">
      <c r="A4" s="64">
        <v>3</v>
      </c>
      <c r="B4" s="64" t="s">
        <v>284</v>
      </c>
      <c r="C4" s="64"/>
      <c r="D4" s="112" t="s">
        <v>285</v>
      </c>
      <c r="E4" s="64" t="s">
        <v>217</v>
      </c>
      <c r="F4" s="54">
        <v>3000</v>
      </c>
      <c r="G4" s="54">
        <f t="shared" si="0"/>
        <v>3000</v>
      </c>
      <c r="H4" s="47"/>
      <c r="I4" s="48">
        <f t="shared" si="1"/>
        <v>0</v>
      </c>
    </row>
    <row r="5" spans="1:14" ht="102" customHeight="1">
      <c r="A5" s="64">
        <v>4</v>
      </c>
      <c r="B5" s="64" t="s">
        <v>286</v>
      </c>
      <c r="C5" s="64"/>
      <c r="D5" s="112" t="s">
        <v>287</v>
      </c>
      <c r="E5" s="64" t="s">
        <v>217</v>
      </c>
      <c r="F5" s="54">
        <v>3500</v>
      </c>
      <c r="G5" s="54">
        <f t="shared" si="0"/>
        <v>3500</v>
      </c>
      <c r="H5" s="47"/>
      <c r="I5" s="48">
        <f t="shared" si="1"/>
        <v>0</v>
      </c>
    </row>
    <row r="6" spans="1:14" ht="102" customHeight="1">
      <c r="A6" s="64">
        <v>5</v>
      </c>
      <c r="B6" s="64" t="s">
        <v>288</v>
      </c>
      <c r="C6" s="64"/>
      <c r="D6" s="112" t="s">
        <v>289</v>
      </c>
      <c r="E6" s="64" t="s">
        <v>217</v>
      </c>
      <c r="F6" s="54">
        <v>3600</v>
      </c>
      <c r="G6" s="54">
        <f t="shared" si="0"/>
        <v>3600</v>
      </c>
      <c r="H6" s="47"/>
      <c r="I6" s="48">
        <f t="shared" si="1"/>
        <v>0</v>
      </c>
    </row>
    <row r="7" spans="1:14" ht="102" customHeight="1">
      <c r="A7" s="96">
        <v>6</v>
      </c>
      <c r="B7" s="96" t="s">
        <v>290</v>
      </c>
      <c r="C7" s="96"/>
      <c r="D7" s="112" t="s">
        <v>291</v>
      </c>
      <c r="E7" s="96" t="s">
        <v>217</v>
      </c>
      <c r="F7" s="98">
        <v>4000</v>
      </c>
      <c r="G7" s="98">
        <f t="shared" si="0"/>
        <v>4000</v>
      </c>
      <c r="H7" s="47"/>
      <c r="I7" s="48">
        <f t="shared" si="1"/>
        <v>0</v>
      </c>
    </row>
    <row r="8" spans="1:14" ht="102" customHeight="1">
      <c r="A8" s="64">
        <v>7</v>
      </c>
      <c r="B8" s="113" t="s">
        <v>292</v>
      </c>
      <c r="C8" s="114"/>
      <c r="D8" s="112" t="s">
        <v>293</v>
      </c>
      <c r="E8" s="64" t="s">
        <v>217</v>
      </c>
      <c r="F8" s="115">
        <v>3750</v>
      </c>
      <c r="G8" s="120">
        <f t="shared" si="0"/>
        <v>3750</v>
      </c>
      <c r="H8" s="47"/>
      <c r="I8" s="48">
        <f t="shared" si="1"/>
        <v>0</v>
      </c>
    </row>
    <row r="9" spans="1:14" ht="102" customHeight="1">
      <c r="A9" s="64">
        <v>8</v>
      </c>
      <c r="B9" s="64" t="s">
        <v>294</v>
      </c>
      <c r="C9" s="116"/>
      <c r="D9" s="112" t="s">
        <v>295</v>
      </c>
      <c r="E9" s="64" t="s">
        <v>217</v>
      </c>
      <c r="F9" s="115">
        <v>4500</v>
      </c>
      <c r="G9" s="120">
        <f t="shared" si="0"/>
        <v>4500</v>
      </c>
      <c r="H9" s="47"/>
      <c r="I9" s="48">
        <f t="shared" si="1"/>
        <v>0</v>
      </c>
    </row>
    <row r="10" spans="1:14" ht="102" customHeight="1">
      <c r="A10" s="64">
        <v>9</v>
      </c>
      <c r="B10" s="113" t="s">
        <v>296</v>
      </c>
      <c r="C10" s="114"/>
      <c r="D10" s="117" t="s">
        <v>297</v>
      </c>
      <c r="E10" s="64" t="s">
        <v>217</v>
      </c>
      <c r="F10" s="115">
        <v>4000</v>
      </c>
      <c r="G10" s="120">
        <f t="shared" si="0"/>
        <v>4000</v>
      </c>
      <c r="H10" s="47"/>
      <c r="I10" s="48">
        <f t="shared" si="1"/>
        <v>0</v>
      </c>
    </row>
    <row r="11" spans="1:14" ht="102" customHeight="1">
      <c r="A11" s="64">
        <v>10</v>
      </c>
      <c r="B11" s="64" t="s">
        <v>298</v>
      </c>
      <c r="C11" s="116"/>
      <c r="D11" s="112" t="s">
        <v>299</v>
      </c>
      <c r="E11" s="64" t="s">
        <v>217</v>
      </c>
      <c r="F11" s="115">
        <v>5000</v>
      </c>
      <c r="G11" s="120">
        <f t="shared" si="0"/>
        <v>5000</v>
      </c>
      <c r="H11" s="47"/>
      <c r="I11" s="48">
        <f t="shared" si="1"/>
        <v>0</v>
      </c>
    </row>
  </sheetData>
  <conditionalFormatting sqref="G2:G11">
    <cfRule type="expression" dxfId="2" priority="2">
      <formula>AND(cur_rate&gt;0,$G2&lt;&gt;"")</formula>
    </cfRule>
  </conditionalFormatting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</hyperlinks>
  <pageMargins left="0.7" right="0.7" top="0.75" bottom="0.75" header="0.511811023622047" footer="0.511811023622047"/>
  <pageSetup paperSize="9" fitToHeight="0" orientation="landscape" horizontalDpi="300" verticalDpi="300"/>
  <drawing r:id="rId1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9"/>
  <sheetViews>
    <sheetView zoomScaleNormal="100" workbookViewId="0">
      <pane ySplit="2" topLeftCell="A3" activePane="bottomLeft" state="frozen"/>
      <selection pane="bottomLeft" activeCell="G16" sqref="G16"/>
    </sheetView>
  </sheetViews>
  <sheetFormatPr defaultColWidth="8.5703125" defaultRowHeight="15"/>
  <cols>
    <col min="1" max="1" width="5.85546875" style="1" customWidth="1"/>
    <col min="2" max="2" width="17.42578125" style="1" customWidth="1"/>
    <col min="3" max="3" width="25.85546875" style="1" customWidth="1"/>
    <col min="4" max="4" width="17.5703125" style="1" customWidth="1"/>
    <col min="5" max="5" width="13.140625" style="1" customWidth="1"/>
    <col min="6" max="6" width="12.85546875" style="1" customWidth="1"/>
    <col min="7" max="7" width="11.5703125" style="1" customWidth="1"/>
    <col min="8" max="8" width="16.7109375" style="1" customWidth="1"/>
    <col min="9" max="9" width="13.140625" style="1" customWidth="1"/>
    <col min="10" max="10" width="11.140625" style="1" customWidth="1"/>
    <col min="11" max="11" width="13.7109375" style="1" customWidth="1"/>
    <col min="12" max="12" width="8.5703125" style="1"/>
    <col min="13" max="13" width="19.140625" style="1" customWidth="1"/>
  </cols>
  <sheetData>
    <row r="1" spans="1:13" ht="15.75" customHeight="1">
      <c r="A1" s="151" t="s">
        <v>68</v>
      </c>
      <c r="B1" s="151"/>
      <c r="C1" s="151"/>
      <c r="D1" s="151"/>
      <c r="E1" s="151"/>
    </row>
    <row r="2" spans="1:13" ht="15.75" customHeight="1">
      <c r="A2" s="63" t="s">
        <v>84</v>
      </c>
      <c r="B2" s="63" t="s">
        <v>73</v>
      </c>
      <c r="C2" s="63" t="s">
        <v>74</v>
      </c>
      <c r="D2" s="37" t="s">
        <v>75</v>
      </c>
      <c r="E2" s="63" t="s">
        <v>76</v>
      </c>
      <c r="F2" s="39" t="s">
        <v>77</v>
      </c>
      <c r="G2" s="40" t="s">
        <v>78</v>
      </c>
      <c r="H2" s="42" t="s">
        <v>78</v>
      </c>
      <c r="I2" s="42" t="s">
        <v>34</v>
      </c>
      <c r="J2" s="39" t="s">
        <v>79</v>
      </c>
      <c r="K2" s="40" t="s">
        <v>80</v>
      </c>
      <c r="L2" s="43" t="s">
        <v>34</v>
      </c>
      <c r="M2" s="40" t="s">
        <v>39</v>
      </c>
    </row>
    <row r="3" spans="1:13" ht="15.75" customHeight="1">
      <c r="A3" s="136">
        <v>1</v>
      </c>
      <c r="B3" s="136"/>
      <c r="C3" s="137" t="s">
        <v>68</v>
      </c>
      <c r="D3" s="73" t="str">
        <f>ИТОГО!$K$6</f>
        <v>0-30 000</v>
      </c>
      <c r="E3" s="46">
        <v>14000</v>
      </c>
      <c r="F3" s="132"/>
      <c r="G3" s="133">
        <f>E3*F3</f>
        <v>0</v>
      </c>
      <c r="H3" s="41" t="str">
        <f>ИТОГО!$K$7</f>
        <v>31 000-80 000</v>
      </c>
      <c r="I3" s="49">
        <f>ИТОГО!$L$7</f>
        <v>0.03</v>
      </c>
      <c r="J3" s="50">
        <f>F3+F10+F17</f>
        <v>0</v>
      </c>
      <c r="K3" s="51">
        <f>G3+G10+G17</f>
        <v>0</v>
      </c>
      <c r="L3" s="52">
        <f>cur_rate</f>
        <v>0</v>
      </c>
      <c r="M3" s="51">
        <f>K3-K3*L3</f>
        <v>0</v>
      </c>
    </row>
    <row r="4" spans="1:13" ht="15.75" customHeight="1">
      <c r="A4" s="136"/>
      <c r="B4" s="136"/>
      <c r="C4" s="136"/>
      <c r="D4" s="44" t="str">
        <f>ИТОГО!$K$7</f>
        <v>31 000-80 000</v>
      </c>
      <c r="E4" s="54">
        <f>E3*(1-ИТОГО!$L$7)</f>
        <v>13580</v>
      </c>
      <c r="F4" s="132"/>
      <c r="G4" s="132"/>
      <c r="H4" s="41" t="str">
        <f>ИТОГО!$K$8</f>
        <v>81 000-150 000</v>
      </c>
      <c r="I4" s="49">
        <f>ИТОГО!$L$8</f>
        <v>7.0000000000000007E-2</v>
      </c>
    </row>
    <row r="5" spans="1:13" ht="15.75" customHeight="1">
      <c r="A5" s="136"/>
      <c r="B5" s="136"/>
      <c r="C5" s="136"/>
      <c r="D5" s="44" t="str">
        <f>ИТОГО!$K$8</f>
        <v>81 000-150 000</v>
      </c>
      <c r="E5" s="54">
        <f>E3*(1-ИТОГО!$L$8)</f>
        <v>13020</v>
      </c>
      <c r="F5" s="132"/>
      <c r="G5" s="132"/>
      <c r="H5" s="41" t="str">
        <f>ИТОГО!$K$9</f>
        <v>151 000-300 000</v>
      </c>
      <c r="I5" s="49">
        <f>ИТОГО!$L$9</f>
        <v>0.1</v>
      </c>
    </row>
    <row r="6" spans="1:13" ht="15.75" customHeight="1">
      <c r="A6" s="136"/>
      <c r="B6" s="136"/>
      <c r="C6" s="136"/>
      <c r="D6" s="44" t="str">
        <f>ИТОГО!$K$9</f>
        <v>151 000-300 000</v>
      </c>
      <c r="E6" s="54">
        <f>E3*(1-ИТОГО!$L$9)</f>
        <v>12600</v>
      </c>
      <c r="F6" s="132"/>
      <c r="G6" s="132"/>
      <c r="H6" s="41" t="str">
        <f>ИТОГО!$K$10</f>
        <v>301 000-450 000</v>
      </c>
      <c r="I6" s="49">
        <f>ИТОГО!$L$10</f>
        <v>0.13</v>
      </c>
    </row>
    <row r="7" spans="1:13" ht="15.75" customHeight="1">
      <c r="A7" s="136"/>
      <c r="B7" s="136"/>
      <c r="C7" s="136"/>
      <c r="D7" s="44" t="str">
        <f>ИТОГО!$K$10</f>
        <v>301 000-450 000</v>
      </c>
      <c r="E7" s="54">
        <f>E3*(1-ИТОГО!$L$10)</f>
        <v>12180</v>
      </c>
      <c r="F7" s="132"/>
      <c r="G7" s="132"/>
      <c r="H7" s="41" t="str">
        <f>ИТОГО!$K$11</f>
        <v>451 000-600 000</v>
      </c>
      <c r="I7" s="49">
        <f>ИТОГО!$L$11</f>
        <v>0.15</v>
      </c>
    </row>
    <row r="8" spans="1:13" ht="15.75" customHeight="1">
      <c r="A8" s="136"/>
      <c r="B8" s="136"/>
      <c r="C8" s="136"/>
      <c r="D8" s="44" t="str">
        <f>ИТОГО!$K$11</f>
        <v>451 000-600 000</v>
      </c>
      <c r="E8" s="54">
        <f>E3*(1-ИТОГО!$L$11)</f>
        <v>11900</v>
      </c>
      <c r="F8" s="132"/>
      <c r="G8" s="132"/>
      <c r="H8" s="55" t="str">
        <f>ИТОГО!$K$12</f>
        <v>601 000 и выше</v>
      </c>
      <c r="I8" s="56">
        <f>ИТОГО!$L$12</f>
        <v>0.17</v>
      </c>
    </row>
    <row r="9" spans="1:13" ht="15.75" customHeight="1">
      <c r="A9" s="136"/>
      <c r="B9" s="136"/>
      <c r="C9" s="136"/>
      <c r="D9" s="44" t="str">
        <f>ИТОГО!$K$12</f>
        <v>601 000 и выше</v>
      </c>
      <c r="E9" s="54">
        <f>E3*(1-ИТОГО!$L$12)</f>
        <v>11620</v>
      </c>
      <c r="F9" s="132"/>
      <c r="G9" s="132"/>
    </row>
  </sheetData>
  <mergeCells count="6">
    <mergeCell ref="G3:G9"/>
    <mergeCell ref="A1:E1"/>
    <mergeCell ref="A3:A9"/>
    <mergeCell ref="B3:B9"/>
    <mergeCell ref="C3:C9"/>
    <mergeCell ref="F3:F9"/>
  </mergeCells>
  <conditionalFormatting sqref="H3:I8">
    <cfRule type="expression" dxfId="1" priority="2">
      <formula>$H3=cur_label</formula>
    </cfRule>
  </conditionalFormatting>
  <conditionalFormatting sqref="D3:E9">
    <cfRule type="expression" dxfId="0" priority="3">
      <formula>AND($D3&lt;&gt;"",$D3=cur_label)</formula>
    </cfRule>
  </conditionalFormatting>
  <hyperlinks>
    <hyperlink ref="C3" r:id="rId1"/>
  </hyperlinks>
  <pageMargins left="0.7" right="0.7" top="0.75" bottom="0.75" header="0.511811023622047" footer="0.511811023622047"/>
  <pageSetup paperSize="9" fitToHeight="0" orientation="landscape" horizontalDpi="300" verticalDpi="300"/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E7"/>
  <sheetViews>
    <sheetView zoomScaleNormal="100" workbookViewId="0">
      <selection activeCell="J5" sqref="J5"/>
    </sheetView>
  </sheetViews>
  <sheetFormatPr defaultColWidth="8.5703125" defaultRowHeight="15"/>
  <cols>
    <col min="2" max="2" width="30.28515625" style="1" customWidth="1"/>
    <col min="3" max="3" width="15" style="1" customWidth="1"/>
    <col min="4" max="4" width="17.42578125" style="1" customWidth="1"/>
  </cols>
  <sheetData>
    <row r="1" spans="1:5" ht="15.75" customHeight="1">
      <c r="A1" s="138" t="s">
        <v>300</v>
      </c>
      <c r="B1" s="138"/>
      <c r="C1" s="138"/>
      <c r="D1" s="138"/>
      <c r="E1" s="138"/>
    </row>
    <row r="2" spans="1:5" ht="26.25" customHeight="1">
      <c r="A2" s="63" t="s">
        <v>84</v>
      </c>
      <c r="B2" s="63" t="s">
        <v>301</v>
      </c>
      <c r="C2" s="63" t="s">
        <v>302</v>
      </c>
      <c r="D2" s="63" t="s">
        <v>303</v>
      </c>
      <c r="E2" s="36"/>
    </row>
    <row r="3" spans="1:5" ht="51.75" customHeight="1">
      <c r="A3" s="64">
        <v>1</v>
      </c>
      <c r="B3" s="64" t="s">
        <v>304</v>
      </c>
      <c r="C3" s="64" t="s">
        <v>305</v>
      </c>
      <c r="D3" s="118">
        <v>800</v>
      </c>
      <c r="E3" s="36"/>
    </row>
    <row r="4" spans="1:5" ht="48.75" customHeight="1">
      <c r="A4" s="64">
        <v>2</v>
      </c>
      <c r="B4" s="64" t="s">
        <v>306</v>
      </c>
      <c r="C4" s="64" t="s">
        <v>305</v>
      </c>
      <c r="D4" s="118">
        <v>1600</v>
      </c>
      <c r="E4" s="36"/>
    </row>
    <row r="5" spans="1:5" ht="49.5" customHeight="1">
      <c r="A5" s="64">
        <v>3</v>
      </c>
      <c r="B5" s="64" t="s">
        <v>307</v>
      </c>
      <c r="C5" s="64" t="s">
        <v>305</v>
      </c>
      <c r="D5" s="118">
        <v>800</v>
      </c>
      <c r="E5" s="36"/>
    </row>
    <row r="6" spans="1:5" ht="53.25" customHeight="1">
      <c r="A6" s="64">
        <v>4</v>
      </c>
      <c r="B6" s="64" t="s">
        <v>308</v>
      </c>
      <c r="C6" s="64" t="s">
        <v>305</v>
      </c>
      <c r="D6" s="118">
        <v>800</v>
      </c>
      <c r="E6" s="36"/>
    </row>
    <row r="7" spans="1:5" ht="56.25" customHeight="1">
      <c r="A7" s="64">
        <v>5</v>
      </c>
      <c r="B7" s="64" t="s">
        <v>309</v>
      </c>
      <c r="C7" s="64" t="s">
        <v>305</v>
      </c>
      <c r="D7" s="118">
        <v>1600</v>
      </c>
      <c r="E7" s="36"/>
    </row>
  </sheetData>
  <mergeCells count="1">
    <mergeCell ref="A1:E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3</vt:i4>
      </vt:variant>
    </vt:vector>
  </HeadingPairs>
  <TitlesOfParts>
    <vt:vector size="21" baseType="lpstr">
      <vt:lpstr>Контакты</vt:lpstr>
      <vt:lpstr>ИТОГО</vt:lpstr>
      <vt:lpstr>Кипятильники</vt:lpstr>
      <vt:lpstr>Термосы эмалированные</vt:lpstr>
      <vt:lpstr>Термосы нержавеющие</vt:lpstr>
      <vt:lpstr>Термосы с краном</vt:lpstr>
      <vt:lpstr>Термосы на колесах</vt:lpstr>
      <vt:lpstr>Бидоны</vt:lpstr>
      <vt:lpstr>Баки</vt:lpstr>
      <vt:lpstr>Подносы</vt:lpstr>
      <vt:lpstr>Мармиты</vt:lpstr>
      <vt:lpstr>Сыроварни</vt:lpstr>
      <vt:lpstr>Дистилляторы</vt:lpstr>
      <vt:lpstr>ЦКТ</vt:lpstr>
      <vt:lpstr>Комплектующие</vt:lpstr>
      <vt:lpstr>Канистры</vt:lpstr>
      <vt:lpstr>Контейнер для ТКО и ТБО</vt:lpstr>
      <vt:lpstr>Ремонт кипятильников</vt:lpstr>
      <vt:lpstr>cur_label</vt:lpstr>
      <vt:lpstr>cur_rate</vt:lpstr>
      <vt:lpstr>cur_tier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Дима</cp:lastModifiedBy>
  <cp:revision>0</cp:revision>
  <dcterms:created xsi:type="dcterms:W3CDTF">2006-09-28T05:33:49Z</dcterms:created>
  <dcterms:modified xsi:type="dcterms:W3CDTF">2026-10-16T08:32:10Z</dcterms:modified>
  <dc:language>ru-RU</dc:language>
</cp:coreProperties>
</file>